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9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33.xml" ContentType="application/vnd.ms-excel.person+xml"/>
  <Override PartName="/xl/persons/person23.xml" ContentType="application/vnd.ms-excel.person+xml"/>
  <Override PartName="/xl/persons/person22.xml" ContentType="application/vnd.ms-excel.person+xml"/>
  <Override PartName="/xl/persons/person41.xml" ContentType="application/vnd.ms-excel.person+xml"/>
  <Override PartName="/xl/persons/person45.xml" ContentType="application/vnd.ms-excel.person+xml"/>
  <Override PartName="/xl/persons/person1.xml" ContentType="application/vnd.ms-excel.person+xml"/>
  <Override PartName="/xl/persons/person35.xml" ContentType="application/vnd.ms-excel.person+xml"/>
  <Override PartName="/xl/persons/person14.xml" ContentType="application/vnd.ms-excel.person+xml"/>
  <Override PartName="/xl/persons/person17.xml" ContentType="application/vnd.ms-excel.person+xml"/>
  <Override PartName="/xl/persons/person16.xml" ContentType="application/vnd.ms-excel.person+xml"/>
  <Override PartName="/xl/persons/person26.xml" ContentType="application/vnd.ms-excel.person+xml"/>
  <Override PartName="/xl/persons/person32.xml" ContentType="application/vnd.ms-excel.person+xml"/>
  <Override PartName="/xl/persons/person42.xml" ContentType="application/vnd.ms-excel.person+xml"/>
  <Override PartName="/xl/persons/person46.xml" ContentType="application/vnd.ms-excel.person+xml"/>
  <Override PartName="/xl/persons/person40.xml" ContentType="application/vnd.ms-excel.person+xml"/>
  <Override PartName="/xl/persons/person20.xml" ContentType="application/vnd.ms-excel.person+xml"/>
  <Override PartName="/xl/persons/person28.xml" ContentType="application/vnd.ms-excel.person+xml"/>
  <Override PartName="/xl/persons/person47.xml" ContentType="application/vnd.ms-excel.person+xml"/>
  <Override PartName="/xl/persons/person4.xml" ContentType="application/vnd.ms-excel.person+xml"/>
  <Override PartName="/xl/persons/person51.xml" ContentType="application/vnd.ms-excel.person+xml"/>
  <Override PartName="/xl/persons/person31.xml" ContentType="application/vnd.ms-excel.person+xml"/>
  <Override PartName="/xl/persons/person29.xml" ContentType="application/vnd.ms-excel.person+xml"/>
  <Override PartName="/xl/persons/person11.xml" ContentType="application/vnd.ms-excel.person+xml"/>
  <Override PartName="/xl/persons/person19.xml" ContentType="application/vnd.ms-excel.person+xml"/>
  <Override PartName="/xl/persons/person37.xml" ContentType="application/vnd.ms-excel.person+xml"/>
  <Override PartName="/xl/persons/person50.xml" ContentType="application/vnd.ms-excel.person+xml"/>
  <Override PartName="/xl/persons/person39.xml" ContentType="application/vnd.ms-excel.person+xml"/>
  <Override PartName="/xl/persons/person8.xml" ContentType="application/vnd.ms-excel.person+xml"/>
  <Override PartName="/xl/persons/person13.xml" ContentType="application/vnd.ms-excel.person+xml"/>
  <Override PartName="/xl/persons/person34.xml" ContentType="application/vnd.ms-excel.person+xml"/>
  <Override PartName="/xl/persons/person18.xml" ContentType="application/vnd.ms-excel.person+xml"/>
  <Override PartName="/xl/persons/person25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.xml" ContentType="application/vnd.ms-excel.person+xml"/>
  <Override PartName="/xl/persons/person43.xml" ContentType="application/vnd.ms-excel.person+xml"/>
  <Override PartName="/xl/persons/person36.xml" ContentType="application/vnd.ms-excel.person+xml"/>
  <Override PartName="/xl/persons/person6.xml" ContentType="application/vnd.ms-excel.person+xml"/>
  <Override PartName="/xl/persons/person10.xml" ContentType="application/vnd.ms-excel.person+xml"/>
  <Override PartName="/xl/persons/person21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48.xml" ContentType="application/vnd.ms-excel.person+xml"/>
  <Override PartName="/xl/persons/person27.xml" ContentType="application/vnd.ms-excel.person+xml"/>
  <Override PartName="/xl/persons/person24.xml" ContentType="application/vnd.ms-excel.person+xml"/>
  <Override PartName="/xl/persons/person15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44.xml" ContentType="application/vnd.ms-excel.person+xml"/>
  <Override PartName="/xl/persons/person49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lmypalacios-my.sharepoint.com/personal/contadora_idalmypalacios_onmicrosoft_com/Documents/YOSSARLY/MIS DOCUMENTOS/PYK/2026/Estados Fros/Julio/"/>
    </mc:Choice>
  </mc:AlternateContent>
  <xr:revisionPtr revIDLastSave="60" documentId="8_{35C03BF5-2D8E-46B8-AA45-B7A6D122F80C}" xr6:coauthVersionLast="47" xr6:coauthVersionMax="47" xr10:uidLastSave="{E9D896DF-7023-42B1-ABAA-979DC689755F}"/>
  <bookViews>
    <workbookView xWindow="-120" yWindow="-120" windowWidth="29040" windowHeight="15720" firstSheet="2" activeTab="2" xr2:uid="{8E7A32EE-77C1-49B1-AC05-7D92B0B48E95}"/>
  </bookViews>
  <sheets>
    <sheet name="202302M" sheetId="14" state="hidden" r:id="rId1"/>
    <sheet name="202501anual" sheetId="9" state="hidden" r:id="rId2"/>
    <sheet name="2026Ej" sheetId="10" r:id="rId3"/>
    <sheet name="202301" sheetId="8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xlnm._FilterDatabase" localSheetId="3" hidden="1">'202301'!$A$5:$S$89</definedName>
    <definedName name="_xlnm._FilterDatabase" localSheetId="0" hidden="1">'202302M'!$A$5:$AD$89</definedName>
    <definedName name="_xlnm._FilterDatabase" localSheetId="1" hidden="1">'202501anual'!$A$5:$O$165</definedName>
    <definedName name="_xlnm._FilterDatabase" localSheetId="2" hidden="1">'2026Ej'!$A$5:$AP$91</definedName>
    <definedName name="_xlnm.Print_Area" localSheetId="3">'202301'!$A$1:$S$89</definedName>
    <definedName name="_xlnm.Print_Area" localSheetId="0">'202302M'!$A$1:$AD$89</definedName>
    <definedName name="_xlnm.Print_Area" localSheetId="1">'202501anual'!$A$1:$O$165</definedName>
    <definedName name="_xlnm.Print_Area" localSheetId="2">'2026Ej'!$A$1:$AP$91</definedName>
    <definedName name="_xlnm.Print_Titles" localSheetId="3">'202301'!$1:$5</definedName>
    <definedName name="_xlnm.Print_Titles" localSheetId="0">'202302M'!$1:$5</definedName>
    <definedName name="_xlnm.Print_Titles" localSheetId="1">'202501anual'!$1:$5</definedName>
    <definedName name="_xlnm.Print_Titles" localSheetId="2">'2026Ej'!$1:$5</definedName>
  </definedNames>
  <calcPr calcId="191029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91" i="10" l="1"/>
  <c r="AR90" i="10"/>
  <c r="AR89" i="10"/>
  <c r="AR88" i="10"/>
  <c r="AR80" i="10"/>
  <c r="AR45" i="10"/>
  <c r="AR31" i="10"/>
  <c r="AR23" i="10"/>
  <c r="AR22" i="10"/>
  <c r="AR19" i="10"/>
  <c r="AR12" i="10"/>
  <c r="AZ12" i="10"/>
  <c r="W88" i="10"/>
  <c r="W80" i="10"/>
  <c r="W79" i="10"/>
  <c r="W78" i="10"/>
  <c r="W77" i="10"/>
  <c r="W76" i="10"/>
  <c r="W75" i="10"/>
  <c r="W74" i="10"/>
  <c r="W73" i="10"/>
  <c r="W72" i="10"/>
  <c r="W71" i="10"/>
  <c r="W69" i="10"/>
  <c r="W66" i="10"/>
  <c r="W65" i="10"/>
  <c r="W64" i="10"/>
  <c r="W63" i="10"/>
  <c r="W58" i="10"/>
  <c r="W57" i="10"/>
  <c r="W56" i="10"/>
  <c r="W54" i="10"/>
  <c r="W53" i="10"/>
  <c r="W52" i="10"/>
  <c r="W51" i="10"/>
  <c r="W50" i="10"/>
  <c r="W49" i="10"/>
  <c r="W48" i="10"/>
  <c r="W47" i="10"/>
  <c r="W46" i="10"/>
  <c r="W45" i="10"/>
  <c r="W43" i="10"/>
  <c r="W41" i="10"/>
  <c r="W40" i="10"/>
  <c r="W39" i="10"/>
  <c r="W37" i="10"/>
  <c r="W35" i="10"/>
  <c r="W34" i="10"/>
  <c r="W33" i="10"/>
  <c r="W32" i="10"/>
  <c r="AO45" i="10"/>
  <c r="AO31" i="10"/>
  <c r="AO23" i="10"/>
  <c r="AO22" i="10"/>
  <c r="AO19" i="10"/>
  <c r="AO12" i="10"/>
  <c r="I37" i="10"/>
  <c r="V48" i="10" l="1"/>
  <c r="V54" i="10"/>
  <c r="V83" i="10"/>
  <c r="V79" i="10"/>
  <c r="V77" i="10"/>
  <c r="V74" i="10"/>
  <c r="V72" i="10"/>
  <c r="V71" i="10"/>
  <c r="V66" i="10"/>
  <c r="V65" i="10"/>
  <c r="V63" i="10"/>
  <c r="V58" i="10"/>
  <c r="V57" i="10"/>
  <c r="V56" i="10"/>
  <c r="V53" i="10"/>
  <c r="V50" i="10"/>
  <c r="V47" i="10"/>
  <c r="V41" i="10"/>
  <c r="V40" i="10"/>
  <c r="V39" i="10"/>
  <c r="V35" i="10"/>
  <c r="V34" i="10"/>
  <c r="V29" i="10"/>
  <c r="V28" i="10"/>
  <c r="V27" i="10"/>
  <c r="V21" i="10"/>
  <c r="V18" i="10"/>
  <c r="V15" i="10"/>
  <c r="V14" i="10"/>
  <c r="V38" i="9"/>
  <c r="V28" i="9"/>
  <c r="V17" i="9"/>
  <c r="V42" i="9"/>
  <c r="V62" i="9"/>
  <c r="V66" i="9"/>
  <c r="V69" i="9"/>
  <c r="V88" i="9"/>
  <c r="V74" i="9"/>
  <c r="V100" i="9"/>
  <c r="V163" i="9"/>
  <c r="V123" i="9"/>
  <c r="V115" i="9"/>
  <c r="V75" i="9"/>
  <c r="V61" i="9"/>
  <c r="V119" i="9"/>
  <c r="V114" i="9"/>
  <c r="Y102" i="9"/>
  <c r="X102" i="9"/>
  <c r="X101" i="9"/>
  <c r="V24" i="10"/>
  <c r="V20" i="10"/>
  <c r="V13" i="10"/>
  <c r="U69" i="10"/>
  <c r="U64" i="10"/>
  <c r="U62" i="10"/>
  <c r="U60" i="10"/>
  <c r="U47" i="10"/>
  <c r="U46" i="10"/>
  <c r="U41" i="10"/>
  <c r="U40" i="10"/>
  <c r="U33" i="10"/>
  <c r="U32" i="10"/>
  <c r="U21" i="10"/>
  <c r="F21" i="10"/>
  <c r="C21" i="10"/>
  <c r="AL20" i="10"/>
  <c r="M20" i="10"/>
  <c r="J20" i="10"/>
  <c r="G20" i="10"/>
  <c r="D20" i="10"/>
  <c r="AK19" i="10"/>
  <c r="AN17" i="10"/>
  <c r="J13" i="10"/>
  <c r="G13" i="10"/>
  <c r="D13" i="10"/>
  <c r="AN13" i="10" s="1"/>
  <c r="AK12" i="10"/>
  <c r="AN11" i="10"/>
  <c r="AL11" i="10"/>
  <c r="AL10" i="10"/>
  <c r="G10" i="10"/>
  <c r="AN10" i="10" s="1"/>
  <c r="AL9" i="10"/>
  <c r="G9" i="10"/>
  <c r="D9" i="10"/>
  <c r="AN9" i="10" s="1"/>
  <c r="AL8" i="10"/>
  <c r="P8" i="10"/>
  <c r="J8" i="10"/>
  <c r="G8" i="10"/>
  <c r="D8" i="10"/>
  <c r="AL7" i="10"/>
  <c r="P7" i="10"/>
  <c r="J7" i="10"/>
  <c r="G7" i="10"/>
  <c r="D7" i="10"/>
  <c r="AL6" i="10"/>
  <c r="J6" i="10"/>
  <c r="G6" i="10"/>
  <c r="D6" i="10"/>
  <c r="I112" i="9"/>
  <c r="U35" i="10" s="1"/>
  <c r="I174" i="9"/>
  <c r="I129" i="9"/>
  <c r="U63" i="10" s="1"/>
  <c r="H15" i="9"/>
  <c r="I19" i="9"/>
  <c r="I35" i="9"/>
  <c r="H35" i="9"/>
  <c r="I79" i="9"/>
  <c r="I43" i="9"/>
  <c r="I75" i="9"/>
  <c r="I91" i="9"/>
  <c r="I149" i="9"/>
  <c r="I47" i="9"/>
  <c r="I72" i="9"/>
  <c r="I83" i="9"/>
  <c r="I86" i="9"/>
  <c r="I70" i="9"/>
  <c r="I23" i="9"/>
  <c r="I34" i="9"/>
  <c r="I25" i="9"/>
  <c r="I33" i="9"/>
  <c r="I107" i="9"/>
  <c r="U48" i="10" s="1"/>
  <c r="I106" i="9"/>
  <c r="U36" i="10" s="1"/>
  <c r="I114" i="9"/>
  <c r="U53" i="10" s="1"/>
  <c r="I115" i="9"/>
  <c r="U54" i="10" s="1"/>
  <c r="I134" i="9"/>
  <c r="U66" i="10" s="1"/>
  <c r="I137" i="9"/>
  <c r="U43" i="10" s="1"/>
  <c r="I139" i="9"/>
  <c r="I155" i="9"/>
  <c r="U73" i="10" s="1"/>
  <c r="I158" i="9"/>
  <c r="U75" i="10" s="1"/>
  <c r="I159" i="9"/>
  <c r="U76" i="10" s="1"/>
  <c r="I152" i="9"/>
  <c r="U71" i="10" s="1"/>
  <c r="I153" i="9"/>
  <c r="U72" i="10" s="1"/>
  <c r="I142" i="9"/>
  <c r="U37" i="10" s="1"/>
  <c r="I133" i="9"/>
  <c r="I104" i="9"/>
  <c r="U34" i="10" s="1"/>
  <c r="I61" i="9"/>
  <c r="I97" i="9"/>
  <c r="I49" i="9"/>
  <c r="I57" i="9"/>
  <c r="I56" i="9"/>
  <c r="I26" i="9"/>
  <c r="I109" i="9"/>
  <c r="U50" i="10" s="1"/>
  <c r="I162" i="9"/>
  <c r="U86" i="10" s="1"/>
  <c r="I123" i="9"/>
  <c r="U39" i="10" s="1"/>
  <c r="I116" i="9"/>
  <c r="U49" i="10" s="1"/>
  <c r="I113" i="9"/>
  <c r="U52" i="10" s="1"/>
  <c r="I108" i="9"/>
  <c r="I157" i="9"/>
  <c r="U74" i="10" s="1"/>
  <c r="I105" i="9"/>
  <c r="O134" i="9"/>
  <c r="O152" i="9"/>
  <c r="O158" i="9"/>
  <c r="O107" i="9"/>
  <c r="O115" i="9"/>
  <c r="O155" i="9"/>
  <c r="O129" i="9"/>
  <c r="O131" i="9"/>
  <c r="I102" i="9"/>
  <c r="I101" i="9"/>
  <c r="I161" i="9"/>
  <c r="U79" i="10" s="1"/>
  <c r="I121" i="9"/>
  <c r="U58" i="10" s="1"/>
  <c r="I119" i="9"/>
  <c r="U57" i="10" s="1"/>
  <c r="I118" i="9"/>
  <c r="U78" i="10" s="1"/>
  <c r="I117" i="9"/>
  <c r="U56" i="10" s="1"/>
  <c r="I160" i="9"/>
  <c r="U77" i="10" s="1"/>
  <c r="U7" i="10"/>
  <c r="U6" i="10"/>
  <c r="U10" i="10"/>
  <c r="U8" i="10"/>
  <c r="I69" i="9" l="1"/>
  <c r="U27" i="10" s="1"/>
  <c r="I74" i="9"/>
  <c r="U28" i="10" s="1"/>
  <c r="V59" i="9"/>
  <c r="V63" i="9" s="1"/>
  <c r="V164" i="9"/>
  <c r="AN6" i="10"/>
  <c r="AN8" i="10"/>
  <c r="AN7" i="10"/>
  <c r="AN20" i="10"/>
  <c r="I17" i="9"/>
  <c r="U14" i="10" s="1"/>
  <c r="I42" i="9"/>
  <c r="U18" i="10" s="1"/>
  <c r="I28" i="9"/>
  <c r="U15" i="10" s="1"/>
  <c r="U131" i="9" l="1"/>
  <c r="S86" i="10"/>
  <c r="S83" i="10"/>
  <c r="U102" i="9"/>
  <c r="U66" i="9"/>
  <c r="U64" i="9"/>
  <c r="U60" i="9"/>
  <c r="U62" i="9" s="1"/>
  <c r="U16" i="9"/>
  <c r="U28" i="9"/>
  <c r="U42" i="9"/>
  <c r="U74" i="9"/>
  <c r="U133" i="9"/>
  <c r="U104" i="9"/>
  <c r="U157" i="9"/>
  <c r="U72" i="9"/>
  <c r="U97" i="9"/>
  <c r="U88" i="9" s="1"/>
  <c r="U115" i="9"/>
  <c r="U25" i="9"/>
  <c r="U21" i="9"/>
  <c r="U26" i="9"/>
  <c r="U50" i="9"/>
  <c r="U91" i="9"/>
  <c r="U65" i="9"/>
  <c r="U61" i="9"/>
  <c r="U57" i="9"/>
  <c r="U45" i="9"/>
  <c r="U19" i="9"/>
  <c r="U153" i="9"/>
  <c r="U119" i="9"/>
  <c r="U160" i="9"/>
  <c r="U109" i="9"/>
  <c r="U161" i="9"/>
  <c r="U114" i="9"/>
  <c r="U134" i="9"/>
  <c r="U158" i="9"/>
  <c r="U152" i="9"/>
  <c r="U155" i="9"/>
  <c r="U71" i="9"/>
  <c r="U69" i="9" s="1"/>
  <c r="U130" i="9"/>
  <c r="U113" i="9"/>
  <c r="R33" i="10"/>
  <c r="R62" i="10"/>
  <c r="R60" i="10"/>
  <c r="R46" i="10"/>
  <c r="R40" i="10"/>
  <c r="R32" i="10"/>
  <c r="R6" i="10"/>
  <c r="R8" i="10"/>
  <c r="R10" i="10"/>
  <c r="R7" i="10"/>
  <c r="AM6" i="10"/>
  <c r="AM9" i="10"/>
  <c r="H135" i="9"/>
  <c r="H96" i="9"/>
  <c r="H91" i="9"/>
  <c r="H154" i="9"/>
  <c r="H106" i="9"/>
  <c r="R36" i="10" s="1"/>
  <c r="H146" i="9"/>
  <c r="H138" i="9"/>
  <c r="R69" i="10" s="1"/>
  <c r="H129" i="9"/>
  <c r="R63" i="10" s="1"/>
  <c r="H162" i="9"/>
  <c r="H161" i="9"/>
  <c r="R79" i="10" s="1"/>
  <c r="H160" i="9"/>
  <c r="R77" i="10" s="1"/>
  <c r="H159" i="9"/>
  <c r="R76" i="10" s="1"/>
  <c r="H158" i="9"/>
  <c r="R75" i="10" s="1"/>
  <c r="H157" i="9"/>
  <c r="R74" i="10" s="1"/>
  <c r="H155" i="9"/>
  <c r="H153" i="9"/>
  <c r="R72" i="10" s="1"/>
  <c r="H152" i="9"/>
  <c r="R71" i="10" s="1"/>
  <c r="H149" i="9"/>
  <c r="H148" i="9"/>
  <c r="H145" i="9"/>
  <c r="R83" i="10" s="1"/>
  <c r="H142" i="9"/>
  <c r="R37" i="10" s="1"/>
  <c r="H139" i="9"/>
  <c r="R41" i="10" s="1"/>
  <c r="H134" i="9"/>
  <c r="R66" i="10" s="1"/>
  <c r="H133" i="9"/>
  <c r="H131" i="9"/>
  <c r="R65" i="10" s="1"/>
  <c r="H130" i="9"/>
  <c r="R64" i="10" s="1"/>
  <c r="H123" i="9"/>
  <c r="R39" i="10" s="1"/>
  <c r="H121" i="9"/>
  <c r="R58" i="10" s="1"/>
  <c r="H119" i="9"/>
  <c r="R57" i="10" s="1"/>
  <c r="H118" i="9"/>
  <c r="R78" i="10" s="1"/>
  <c r="H117" i="9"/>
  <c r="R56" i="10" s="1"/>
  <c r="H116" i="9"/>
  <c r="H115" i="9"/>
  <c r="R54" i="10" s="1"/>
  <c r="H114" i="9"/>
  <c r="R53" i="10" s="1"/>
  <c r="H113" i="9"/>
  <c r="R52" i="10" s="1"/>
  <c r="H112" i="9"/>
  <c r="R35" i="10" s="1"/>
  <c r="H110" i="9"/>
  <c r="H109" i="9"/>
  <c r="R50" i="10" s="1"/>
  <c r="H108" i="9"/>
  <c r="H107" i="9"/>
  <c r="R48" i="10" s="1"/>
  <c r="H105" i="9"/>
  <c r="R47" i="10" s="1"/>
  <c r="H104" i="9"/>
  <c r="R34" i="10" s="1"/>
  <c r="H61" i="9"/>
  <c r="R21" i="10" s="1"/>
  <c r="H97" i="9"/>
  <c r="H75" i="9"/>
  <c r="H86" i="9"/>
  <c r="H83" i="9"/>
  <c r="H81" i="9"/>
  <c r="G81" i="9"/>
  <c r="H79" i="9"/>
  <c r="F79" i="9"/>
  <c r="F75" i="9"/>
  <c r="H72" i="9"/>
  <c r="H70" i="9"/>
  <c r="H69" i="9" s="1"/>
  <c r="R27" i="10" s="1"/>
  <c r="H49" i="9"/>
  <c r="H34" i="9"/>
  <c r="H33" i="9"/>
  <c r="H29" i="9"/>
  <c r="H19" i="9"/>
  <c r="H137" i="9"/>
  <c r="R43" i="10" s="1"/>
  <c r="H57" i="9"/>
  <c r="H56" i="9"/>
  <c r="H53" i="9"/>
  <c r="G49" i="9"/>
  <c r="H47" i="9"/>
  <c r="H43" i="9"/>
  <c r="G43" i="9"/>
  <c r="G34" i="9"/>
  <c r="G33" i="9"/>
  <c r="H26" i="9"/>
  <c r="H25" i="9"/>
  <c r="H23" i="9"/>
  <c r="H21" i="9"/>
  <c r="G21" i="9"/>
  <c r="U17" i="9" l="1"/>
  <c r="U59" i="9" s="1"/>
  <c r="U63" i="9" s="1"/>
  <c r="H42" i="9"/>
  <c r="R73" i="10"/>
  <c r="H17" i="9"/>
  <c r="H28" i="9"/>
  <c r="H74" i="9"/>
  <c r="R86" i="10"/>
  <c r="R49" i="10"/>
  <c r="U163" i="9"/>
  <c r="U100" i="9"/>
  <c r="R14" i="10"/>
  <c r="R18" i="10"/>
  <c r="U164" i="9" l="1"/>
  <c r="H174" i="9"/>
  <c r="P18" i="10" l="1"/>
  <c r="P41" i="10"/>
  <c r="P14" i="10"/>
  <c r="P15" i="10"/>
  <c r="P27" i="10"/>
  <c r="P28" i="10"/>
  <c r="P29" i="10"/>
  <c r="P34" i="10"/>
  <c r="P35" i="10"/>
  <c r="P39" i="10"/>
  <c r="P40" i="10"/>
  <c r="AO11" i="10"/>
  <c r="AP11" i="10" s="1"/>
  <c r="N11" i="10"/>
  <c r="P79" i="10" l="1"/>
  <c r="P77" i="10"/>
  <c r="P74" i="10"/>
  <c r="P72" i="10"/>
  <c r="P71" i="10"/>
  <c r="P83" i="10"/>
  <c r="P66" i="10"/>
  <c r="P65" i="10"/>
  <c r="P63" i="10"/>
  <c r="P58" i="10"/>
  <c r="P57" i="10"/>
  <c r="P56" i="10"/>
  <c r="P53" i="10"/>
  <c r="P50" i="10"/>
  <c r="P47" i="10"/>
  <c r="Q10" i="10"/>
  <c r="Q9" i="10"/>
  <c r="Q6" i="10"/>
  <c r="O62" i="10"/>
  <c r="O60" i="10"/>
  <c r="O46" i="10"/>
  <c r="O36" i="10"/>
  <c r="O33" i="10"/>
  <c r="O32" i="10"/>
  <c r="Q8" i="10"/>
  <c r="Q7" i="10"/>
  <c r="T163" i="9" l="1"/>
  <c r="T88" i="9"/>
  <c r="T74" i="9"/>
  <c r="T69" i="9"/>
  <c r="G66" i="9"/>
  <c r="T17" i="9"/>
  <c r="T42" i="9"/>
  <c r="T114" i="9"/>
  <c r="G61" i="9"/>
  <c r="O21" i="10" s="1"/>
  <c r="G148" i="9"/>
  <c r="G110" i="9"/>
  <c r="G135" i="9"/>
  <c r="G79" i="9"/>
  <c r="G96" i="9"/>
  <c r="F96" i="9"/>
  <c r="F94" i="9"/>
  <c r="G154" i="9"/>
  <c r="G145" i="9"/>
  <c r="O83" i="10" s="1"/>
  <c r="G123" i="9"/>
  <c r="O39" i="10" s="1"/>
  <c r="G116" i="9"/>
  <c r="G108" i="9"/>
  <c r="G131" i="9"/>
  <c r="O65" i="10" s="1"/>
  <c r="G129" i="9"/>
  <c r="O63" i="10" s="1"/>
  <c r="G109" i="9"/>
  <c r="O50" i="10" s="1"/>
  <c r="G112" i="9"/>
  <c r="O35" i="10" s="1"/>
  <c r="F112" i="9"/>
  <c r="G113" i="9"/>
  <c r="O52" i="10" s="1"/>
  <c r="F113" i="9"/>
  <c r="G139" i="9"/>
  <c r="O41" i="10" s="1"/>
  <c r="O126" i="9"/>
  <c r="F139" i="9"/>
  <c r="G20" i="9"/>
  <c r="G22" i="9"/>
  <c r="G47" i="9"/>
  <c r="F47" i="9"/>
  <c r="G53" i="9"/>
  <c r="F53" i="9"/>
  <c r="G29" i="9"/>
  <c r="F29" i="9"/>
  <c r="G23" i="9"/>
  <c r="F34" i="9"/>
  <c r="G137" i="9"/>
  <c r="O43" i="10" s="1"/>
  <c r="F49" i="9"/>
  <c r="G162" i="9"/>
  <c r="G161" i="9"/>
  <c r="O79" i="10" s="1"/>
  <c r="G160" i="9"/>
  <c r="O77" i="10" s="1"/>
  <c r="G159" i="9"/>
  <c r="O76" i="10" s="1"/>
  <c r="G158" i="9"/>
  <c r="O75" i="10" s="1"/>
  <c r="G157" i="9"/>
  <c r="O74" i="10" s="1"/>
  <c r="G155" i="9"/>
  <c r="G153" i="9"/>
  <c r="O72" i="10" s="1"/>
  <c r="G152" i="9"/>
  <c r="O71" i="10" s="1"/>
  <c r="G149" i="9"/>
  <c r="G142" i="9"/>
  <c r="O37" i="10" s="1"/>
  <c r="G138" i="9"/>
  <c r="O69" i="10" s="1"/>
  <c r="G134" i="9"/>
  <c r="O66" i="10" s="1"/>
  <c r="G133" i="9"/>
  <c r="O40" i="10" s="1"/>
  <c r="G130" i="9"/>
  <c r="O64" i="10" s="1"/>
  <c r="G121" i="9"/>
  <c r="O58" i="10" s="1"/>
  <c r="G119" i="9"/>
  <c r="O57" i="10" s="1"/>
  <c r="G118" i="9"/>
  <c r="O78" i="10" s="1"/>
  <c r="G117" i="9"/>
  <c r="O56" i="10" s="1"/>
  <c r="G115" i="9"/>
  <c r="O54" i="10" s="1"/>
  <c r="G114" i="9"/>
  <c r="O53" i="10" s="1"/>
  <c r="G107" i="9"/>
  <c r="O48" i="10" s="1"/>
  <c r="G105" i="9"/>
  <c r="O47" i="10" s="1"/>
  <c r="G104" i="9"/>
  <c r="O34" i="10" s="1"/>
  <c r="G98" i="9"/>
  <c r="G97" i="9"/>
  <c r="G91" i="9"/>
  <c r="G86" i="9"/>
  <c r="G83" i="9"/>
  <c r="G77" i="9"/>
  <c r="G76" i="9"/>
  <c r="G72" i="9"/>
  <c r="G70" i="9"/>
  <c r="G57" i="9"/>
  <c r="G56" i="9"/>
  <c r="G38" i="9"/>
  <c r="G26" i="9"/>
  <c r="G25" i="9"/>
  <c r="G15" i="9"/>
  <c r="F15" i="9"/>
  <c r="G14" i="9"/>
  <c r="G13" i="9"/>
  <c r="G12" i="9"/>
  <c r="G11" i="9"/>
  <c r="G10" i="9"/>
  <c r="G9" i="9"/>
  <c r="G8" i="9"/>
  <c r="G7" i="9"/>
  <c r="G6" i="9"/>
  <c r="O49" i="10" l="1"/>
  <c r="O73" i="10"/>
  <c r="O45" i="10"/>
  <c r="O86" i="10"/>
  <c r="G17" i="9"/>
  <c r="O14" i="10" s="1"/>
  <c r="T59" i="9"/>
  <c r="G88" i="9"/>
  <c r="O29" i="10" s="1"/>
  <c r="G42" i="9"/>
  <c r="O18" i="10" s="1"/>
  <c r="O80" i="10" l="1"/>
  <c r="F20" i="9"/>
  <c r="M29" i="10"/>
  <c r="M28" i="10"/>
  <c r="M27" i="10"/>
  <c r="S42" i="9"/>
  <c r="M18" i="10"/>
  <c r="M15" i="10"/>
  <c r="M14" i="10"/>
  <c r="S17" i="9"/>
  <c r="M46" i="10"/>
  <c r="M74" i="10"/>
  <c r="M57" i="10"/>
  <c r="L36" i="10"/>
  <c r="L33" i="10"/>
  <c r="L32" i="10"/>
  <c r="F110" i="9"/>
  <c r="L62" i="10"/>
  <c r="L60" i="10"/>
  <c r="L46" i="10"/>
  <c r="L26" i="10"/>
  <c r="F119" i="9"/>
  <c r="L57" i="10" s="1"/>
  <c r="F149" i="9"/>
  <c r="L49" i="10" s="1"/>
  <c r="F98" i="9"/>
  <c r="E98" i="9"/>
  <c r="F91" i="9"/>
  <c r="F116" i="9"/>
  <c r="F130" i="9"/>
  <c r="L64" i="10" s="1"/>
  <c r="F131" i="9"/>
  <c r="F115" i="9"/>
  <c r="F135" i="9"/>
  <c r="F155" i="9"/>
  <c r="L73" i="10" s="1"/>
  <c r="F157" i="9"/>
  <c r="L74" i="10" s="1"/>
  <c r="F179" i="9"/>
  <c r="F148" i="9"/>
  <c r="F56" i="9"/>
  <c r="F57" i="9"/>
  <c r="F72" i="9"/>
  <c r="F83" i="9"/>
  <c r="F86" i="9"/>
  <c r="F70" i="9"/>
  <c r="F137" i="9"/>
  <c r="L43" i="10" s="1"/>
  <c r="F25" i="9"/>
  <c r="F33" i="9"/>
  <c r="F114" i="9"/>
  <c r="L53" i="10" s="1"/>
  <c r="F159" i="9"/>
  <c r="L76" i="10" s="1"/>
  <c r="F153" i="9"/>
  <c r="L72" i="10" s="1"/>
  <c r="F142" i="9"/>
  <c r="L37" i="10" s="1"/>
  <c r="F133" i="9"/>
  <c r="L40" i="10" s="1"/>
  <c r="F104" i="9"/>
  <c r="L34" i="10" s="1"/>
  <c r="F61" i="9"/>
  <c r="F97" i="9"/>
  <c r="F26" i="9"/>
  <c r="F109" i="9"/>
  <c r="L50" i="10" s="1"/>
  <c r="F162" i="9"/>
  <c r="F123" i="9"/>
  <c r="L39" i="10" s="1"/>
  <c r="L35" i="10"/>
  <c r="L52" i="10"/>
  <c r="F138" i="9"/>
  <c r="L69" i="10" s="1"/>
  <c r="F105" i="9"/>
  <c r="L47" i="10" s="1"/>
  <c r="F134" i="9"/>
  <c r="F152" i="9"/>
  <c r="L71" i="10" s="1"/>
  <c r="F158" i="9"/>
  <c r="L75" i="10" s="1"/>
  <c r="L41" i="10"/>
  <c r="F107" i="9"/>
  <c r="L48" i="10" s="1"/>
  <c r="F129" i="9"/>
  <c r="L63" i="10" s="1"/>
  <c r="F161" i="9"/>
  <c r="L79" i="10" s="1"/>
  <c r="F121" i="9"/>
  <c r="L58" i="10" s="1"/>
  <c r="F118" i="9"/>
  <c r="L78" i="10" s="1"/>
  <c r="F117" i="9"/>
  <c r="L56" i="10" s="1"/>
  <c r="F160" i="9"/>
  <c r="L77" i="10" s="1"/>
  <c r="L66" i="10" l="1"/>
  <c r="L80" i="10" s="1"/>
  <c r="L86" i="10"/>
  <c r="L88" i="10" s="1"/>
  <c r="F28" i="9"/>
  <c r="L15" i="10" s="1"/>
  <c r="F42" i="9"/>
  <c r="L45" i="10"/>
  <c r="L21" i="10"/>
  <c r="N21" i="10" s="1"/>
  <c r="L89" i="10" l="1"/>
  <c r="B9" i="10" l="1"/>
  <c r="AZ127" i="10" l="1"/>
  <c r="AZ126" i="10"/>
  <c r="AZ125" i="10"/>
  <c r="AZ124" i="10"/>
  <c r="AZ123" i="10"/>
  <c r="AZ122" i="10"/>
  <c r="AZ121" i="10"/>
  <c r="AZ120" i="10"/>
  <c r="AZ119" i="10"/>
  <c r="AZ118" i="10"/>
  <c r="AZ117" i="10"/>
  <c r="AZ116" i="10"/>
  <c r="AZ115" i="10"/>
  <c r="AZ114" i="10"/>
  <c r="AZ113" i="10"/>
  <c r="AZ111" i="10"/>
  <c r="AZ110" i="10"/>
  <c r="AZ109" i="10"/>
  <c r="AZ108" i="10"/>
  <c r="AZ107" i="10"/>
  <c r="AZ106" i="10"/>
  <c r="AZ105" i="10"/>
  <c r="AZ104" i="10"/>
  <c r="AZ103" i="10"/>
  <c r="AZ102" i="10"/>
  <c r="AZ101" i="10"/>
  <c r="AZ100" i="10"/>
  <c r="AZ99" i="10"/>
  <c r="AZ98" i="10"/>
  <c r="AZ97" i="10"/>
  <c r="AZ96" i="10"/>
  <c r="AZ93" i="10"/>
  <c r="AZ92" i="10"/>
  <c r="J40" i="10"/>
  <c r="J39" i="10"/>
  <c r="J28" i="10"/>
  <c r="J27" i="10"/>
  <c r="J24" i="10"/>
  <c r="J21" i="10"/>
  <c r="J18" i="10"/>
  <c r="J15" i="10"/>
  <c r="J14" i="10"/>
  <c r="P100" i="9"/>
  <c r="Q100" i="9"/>
  <c r="T100" i="9"/>
  <c r="F66" i="9"/>
  <c r="H66" i="9"/>
  <c r="I66" i="9"/>
  <c r="J66" i="9"/>
  <c r="K66" i="9"/>
  <c r="M66" i="9"/>
  <c r="N66" i="9"/>
  <c r="P66" i="9"/>
  <c r="Q66" i="9"/>
  <c r="R66" i="9"/>
  <c r="S66" i="9"/>
  <c r="T66" i="9"/>
  <c r="P63" i="9"/>
  <c r="Q63" i="9"/>
  <c r="P62" i="9"/>
  <c r="Q62" i="9"/>
  <c r="R62" i="9"/>
  <c r="R63" i="9" s="1"/>
  <c r="S62" i="9"/>
  <c r="T62" i="9"/>
  <c r="T63" i="9" s="1"/>
  <c r="P59" i="9"/>
  <c r="Q59" i="9"/>
  <c r="R59" i="9"/>
  <c r="R42" i="9"/>
  <c r="S59" i="9"/>
  <c r="S63" i="9" s="1"/>
  <c r="G28" i="9"/>
  <c r="O15" i="10" s="1"/>
  <c r="R15" i="10"/>
  <c r="J28" i="9"/>
  <c r="K28" i="9"/>
  <c r="L28" i="9"/>
  <c r="M28" i="9"/>
  <c r="N28" i="9"/>
  <c r="P28" i="9"/>
  <c r="Q28" i="9"/>
  <c r="R28" i="9"/>
  <c r="S28" i="9"/>
  <c r="R17" i="9"/>
  <c r="P14" i="9"/>
  <c r="R21" i="9"/>
  <c r="J77" i="10"/>
  <c r="J56" i="10"/>
  <c r="J50" i="10"/>
  <c r="J79" i="10"/>
  <c r="J53" i="10"/>
  <c r="J66" i="10"/>
  <c r="J71" i="10"/>
  <c r="J74" i="10"/>
  <c r="I62" i="10"/>
  <c r="I60" i="10"/>
  <c r="I46" i="10"/>
  <c r="I36" i="10"/>
  <c r="I35" i="10"/>
  <c r="I32" i="10"/>
  <c r="I26" i="10"/>
  <c r="E144" i="9" l="1"/>
  <c r="E162" i="9"/>
  <c r="I86" i="10" s="1"/>
  <c r="I88" i="10" s="1"/>
  <c r="D162" i="9"/>
  <c r="E137" i="9"/>
  <c r="I43" i="10" s="1"/>
  <c r="D137" i="9"/>
  <c r="E134" i="9"/>
  <c r="D134" i="9"/>
  <c r="E133" i="9"/>
  <c r="I40" i="10" s="1"/>
  <c r="D133" i="9"/>
  <c r="E129" i="9"/>
  <c r="I63" i="10" s="1"/>
  <c r="D129" i="9"/>
  <c r="E123" i="9"/>
  <c r="I39" i="10" s="1"/>
  <c r="D123" i="9"/>
  <c r="E121" i="9"/>
  <c r="I58" i="10" s="1"/>
  <c r="D121" i="9"/>
  <c r="E119" i="9"/>
  <c r="I57" i="10" s="1"/>
  <c r="D119" i="9"/>
  <c r="E114" i="9"/>
  <c r="I53" i="10" s="1"/>
  <c r="D114" i="9"/>
  <c r="E109" i="9"/>
  <c r="I50" i="10" s="1"/>
  <c r="D109" i="9"/>
  <c r="E107" i="9"/>
  <c r="I48" i="10" s="1"/>
  <c r="D107" i="9"/>
  <c r="E105" i="9"/>
  <c r="I47" i="10" s="1"/>
  <c r="D105" i="9"/>
  <c r="E104" i="9"/>
  <c r="I34" i="10" s="1"/>
  <c r="D104" i="9"/>
  <c r="E139" i="9"/>
  <c r="I41" i="10" s="1"/>
  <c r="D142" i="9"/>
  <c r="E149" i="9"/>
  <c r="I49" i="10" s="1"/>
  <c r="E152" i="9"/>
  <c r="I71" i="10" s="1"/>
  <c r="D152" i="9"/>
  <c r="E153" i="9"/>
  <c r="I72" i="10" s="1"/>
  <c r="D153" i="9"/>
  <c r="E155" i="9"/>
  <c r="I73" i="10" s="1"/>
  <c r="D155" i="9"/>
  <c r="E158" i="9"/>
  <c r="I75" i="10" s="1"/>
  <c r="D158" i="9"/>
  <c r="E159" i="9"/>
  <c r="I76" i="10" s="1"/>
  <c r="D159" i="9"/>
  <c r="E115" i="9"/>
  <c r="I54" i="10" s="1"/>
  <c r="D115" i="9"/>
  <c r="E103" i="9"/>
  <c r="I33" i="10" s="1"/>
  <c r="D103" i="9"/>
  <c r="E91" i="9"/>
  <c r="E76" i="9"/>
  <c r="Q166" i="9"/>
  <c r="E79" i="9"/>
  <c r="E83" i="9"/>
  <c r="E86" i="9"/>
  <c r="E72" i="9"/>
  <c r="E70" i="9"/>
  <c r="E69" i="9" s="1"/>
  <c r="I27" i="10" s="1"/>
  <c r="E96" i="9"/>
  <c r="E97" i="9"/>
  <c r="E61" i="9"/>
  <c r="E113" i="9"/>
  <c r="I52" i="10" s="1"/>
  <c r="E108" i="9"/>
  <c r="E157" i="9"/>
  <c r="I74" i="10" s="1"/>
  <c r="E138" i="9"/>
  <c r="I69" i="10" s="1"/>
  <c r="E130" i="9"/>
  <c r="I64" i="10" s="1"/>
  <c r="E131" i="9"/>
  <c r="E161" i="9"/>
  <c r="I79" i="10" s="1"/>
  <c r="E118" i="9"/>
  <c r="I78" i="10" s="1"/>
  <c r="E117" i="9"/>
  <c r="I56" i="10" s="1"/>
  <c r="E160" i="9"/>
  <c r="I77" i="10" s="1"/>
  <c r="E29" i="9"/>
  <c r="E46" i="9"/>
  <c r="E34" i="9"/>
  <c r="E25" i="9"/>
  <c r="E26" i="9"/>
  <c r="E49" i="9"/>
  <c r="E47" i="9"/>
  <c r="E94" i="9"/>
  <c r="E13" i="9"/>
  <c r="E11" i="9"/>
  <c r="E10" i="9"/>
  <c r="E6" i="9"/>
  <c r="G48" i="10"/>
  <c r="C48" i="10"/>
  <c r="E48" i="10" s="1"/>
  <c r="D76" i="9"/>
  <c r="G79" i="10"/>
  <c r="G77" i="10"/>
  <c r="G76" i="10"/>
  <c r="G75" i="10"/>
  <c r="G74" i="10"/>
  <c r="G73" i="10"/>
  <c r="G72" i="10"/>
  <c r="G71" i="10"/>
  <c r="G66" i="10"/>
  <c r="G64" i="10"/>
  <c r="G63" i="10"/>
  <c r="G62" i="10"/>
  <c r="G60" i="10"/>
  <c r="G58" i="10"/>
  <c r="G57" i="10"/>
  <c r="G56" i="10"/>
  <c r="G54" i="10"/>
  <c r="G52" i="10"/>
  <c r="G50" i="10"/>
  <c r="G47" i="10"/>
  <c r="G43" i="10"/>
  <c r="G40" i="10"/>
  <c r="G39" i="10"/>
  <c r="G37" i="10"/>
  <c r="G36" i="10"/>
  <c r="G34" i="10"/>
  <c r="G33" i="10"/>
  <c r="G32" i="10"/>
  <c r="D61" i="9"/>
  <c r="Q17" i="9"/>
  <c r="G14" i="10" s="1"/>
  <c r="D96" i="9"/>
  <c r="D56" i="9"/>
  <c r="F64" i="10"/>
  <c r="F62" i="10"/>
  <c r="F52" i="10"/>
  <c r="F46" i="10"/>
  <c r="F41" i="10"/>
  <c r="F36" i="10"/>
  <c r="F35" i="10"/>
  <c r="F32" i="10"/>
  <c r="P88" i="9"/>
  <c r="R88" i="9"/>
  <c r="S88" i="9"/>
  <c r="P74" i="9"/>
  <c r="Q74" i="9"/>
  <c r="G28" i="10" s="1"/>
  <c r="R74" i="9"/>
  <c r="S74" i="9"/>
  <c r="S69" i="9"/>
  <c r="R69" i="9"/>
  <c r="Q69" i="9"/>
  <c r="G27" i="10" s="1"/>
  <c r="P69" i="9"/>
  <c r="G24" i="10"/>
  <c r="Q42" i="9"/>
  <c r="G18" i="10" s="1"/>
  <c r="Q38" i="9"/>
  <c r="G15" i="10"/>
  <c r="Q94" i="9"/>
  <c r="Q88" i="9" s="1"/>
  <c r="G29" i="10" s="1"/>
  <c r="Q114" i="9"/>
  <c r="G53" i="10" s="1"/>
  <c r="D157" i="9"/>
  <c r="F74" i="10" s="1"/>
  <c r="C91" i="9"/>
  <c r="D91" i="9"/>
  <c r="C57" i="9"/>
  <c r="D57" i="9"/>
  <c r="I21" i="10" l="1"/>
  <c r="E17" i="9"/>
  <c r="I14" i="10" s="1"/>
  <c r="S100" i="9"/>
  <c r="J29" i="10"/>
  <c r="R100" i="9"/>
  <c r="E15" i="9"/>
  <c r="I66" i="10"/>
  <c r="E88" i="9"/>
  <c r="I29" i="10" s="1"/>
  <c r="E28" i="9"/>
  <c r="I15" i="10" s="1"/>
  <c r="E42" i="9"/>
  <c r="I18" i="10" s="1"/>
  <c r="I80" i="10"/>
  <c r="I45" i="10"/>
  <c r="Q163" i="9"/>
  <c r="I89" i="10" l="1"/>
  <c r="D13" i="9"/>
  <c r="D11" i="9"/>
  <c r="D10" i="9"/>
  <c r="D6" i="9"/>
  <c r="D117" i="9"/>
  <c r="F56" i="10" s="1"/>
  <c r="D118" i="9"/>
  <c r="F78" i="10" s="1"/>
  <c r="D160" i="9"/>
  <c r="F77" i="10" s="1"/>
  <c r="F60" i="10"/>
  <c r="D94" i="9"/>
  <c r="D34" i="9"/>
  <c r="D28" i="9" s="1"/>
  <c r="F43" i="10"/>
  <c r="D49" i="9"/>
  <c r="F53" i="10"/>
  <c r="F76" i="10"/>
  <c r="F72" i="10"/>
  <c r="F33" i="10"/>
  <c r="F37" i="10"/>
  <c r="F40" i="10"/>
  <c r="F34" i="10"/>
  <c r="F50" i="10"/>
  <c r="F86" i="10"/>
  <c r="F47" i="10"/>
  <c r="F66" i="10"/>
  <c r="F71" i="10"/>
  <c r="F75" i="10"/>
  <c r="F48" i="10"/>
  <c r="F54" i="10"/>
  <c r="F73" i="10"/>
  <c r="F63" i="10"/>
  <c r="D161" i="9"/>
  <c r="F79" i="10" s="1"/>
  <c r="F39" i="10"/>
  <c r="F58" i="10"/>
  <c r="F57" i="10"/>
  <c r="D72" i="9"/>
  <c r="D83" i="9"/>
  <c r="C83" i="9"/>
  <c r="D86" i="9"/>
  <c r="C86" i="9"/>
  <c r="C72" i="9"/>
  <c r="D70" i="9"/>
  <c r="C70" i="9"/>
  <c r="D97" i="9"/>
  <c r="C97" i="9"/>
  <c r="D25" i="9"/>
  <c r="D26" i="9"/>
  <c r="D17" i="9" l="1"/>
  <c r="F14" i="10" s="1"/>
  <c r="F15" i="10"/>
  <c r="D163" i="9"/>
  <c r="P38" i="9" l="1"/>
  <c r="D16" i="10" s="1"/>
  <c r="AN16" i="10" s="1"/>
  <c r="N38" i="9"/>
  <c r="M38" i="9"/>
  <c r="L38" i="9"/>
  <c r="K38" i="9"/>
  <c r="J38" i="9"/>
  <c r="I38" i="9"/>
  <c r="H38" i="9"/>
  <c r="F38" i="9"/>
  <c r="E38" i="9"/>
  <c r="D38" i="9"/>
  <c r="C38" i="9"/>
  <c r="B38" i="9"/>
  <c r="P42" i="9"/>
  <c r="D18" i="10" s="1"/>
  <c r="AN18" i="10" s="1"/>
  <c r="D15" i="10"/>
  <c r="AN15" i="10" s="1"/>
  <c r="P17" i="9"/>
  <c r="D14" i="10" s="1"/>
  <c r="AN14" i="10" s="1"/>
  <c r="AM17" i="10"/>
  <c r="AM16" i="10"/>
  <c r="D24" i="10"/>
  <c r="D46" i="10"/>
  <c r="D32" i="10"/>
  <c r="C47" i="10"/>
  <c r="C61" i="9"/>
  <c r="C105" i="10"/>
  <c r="C66" i="9"/>
  <c r="C26" i="10" s="1"/>
  <c r="C15" i="9"/>
  <c r="C94" i="9"/>
  <c r="C48" i="9"/>
  <c r="C69" i="9"/>
  <c r="C27" i="10" s="1"/>
  <c r="C53" i="10"/>
  <c r="C76" i="10"/>
  <c r="C72" i="10"/>
  <c r="C37" i="10"/>
  <c r="C40" i="10"/>
  <c r="C34" i="10"/>
  <c r="C76" i="9"/>
  <c r="C50" i="10"/>
  <c r="C86" i="10"/>
  <c r="C74" i="10"/>
  <c r="C66" i="10"/>
  <c r="C71" i="10"/>
  <c r="C75" i="10"/>
  <c r="C73" i="10"/>
  <c r="C57" i="10"/>
  <c r="C63" i="10"/>
  <c r="C79" i="10"/>
  <c r="C39" i="10"/>
  <c r="C58" i="10"/>
  <c r="C78" i="10"/>
  <c r="C56" i="10"/>
  <c r="C77" i="10"/>
  <c r="C33" i="9"/>
  <c r="B51" i="10"/>
  <c r="B25" i="9"/>
  <c r="C25" i="9"/>
  <c r="C26" i="9"/>
  <c r="C49" i="9"/>
  <c r="C23" i="9"/>
  <c r="C20" i="9"/>
  <c r="C17" i="9" l="1"/>
  <c r="C14" i="10" s="1"/>
  <c r="C42" i="9"/>
  <c r="C18" i="10" s="1"/>
  <c r="AN46" i="10" l="1"/>
  <c r="AM47" i="10"/>
  <c r="AN47" i="10"/>
  <c r="AM48" i="10"/>
  <c r="AN48" i="10"/>
  <c r="AN49" i="10"/>
  <c r="AN50" i="10"/>
  <c r="AM51" i="10"/>
  <c r="AN51" i="10"/>
  <c r="AM52" i="10"/>
  <c r="AN52" i="10"/>
  <c r="AM53" i="10"/>
  <c r="AN53" i="10"/>
  <c r="AM54" i="10"/>
  <c r="AN54" i="10"/>
  <c r="AM55" i="10"/>
  <c r="AN55" i="10"/>
  <c r="AN56" i="10"/>
  <c r="AN57" i="10"/>
  <c r="AN58" i="10"/>
  <c r="AN59" i="10"/>
  <c r="AM60" i="10"/>
  <c r="AN60" i="10"/>
  <c r="AM61" i="10"/>
  <c r="AN61" i="10"/>
  <c r="AM62" i="10"/>
  <c r="AN62" i="10"/>
  <c r="AM63" i="10"/>
  <c r="AN63" i="10"/>
  <c r="AM64" i="10"/>
  <c r="AN64" i="10"/>
  <c r="AN65" i="10"/>
  <c r="AM66" i="10"/>
  <c r="AN66" i="10"/>
  <c r="AM67" i="10"/>
  <c r="AN67" i="10"/>
  <c r="AM68" i="10"/>
  <c r="AN68" i="10"/>
  <c r="AM69" i="10"/>
  <c r="AN69" i="10"/>
  <c r="AM70" i="10"/>
  <c r="AN70" i="10"/>
  <c r="AM71" i="10"/>
  <c r="AN71" i="10"/>
  <c r="AM72" i="10"/>
  <c r="AN72" i="10"/>
  <c r="AN73" i="10"/>
  <c r="AN74" i="10"/>
  <c r="AN75" i="10"/>
  <c r="AN76" i="10"/>
  <c r="AN77" i="10"/>
  <c r="AM78" i="10"/>
  <c r="AN78" i="10"/>
  <c r="AN79" i="10"/>
  <c r="B105" i="10"/>
  <c r="B76" i="10"/>
  <c r="B72" i="10"/>
  <c r="B69" i="10"/>
  <c r="B57" i="10"/>
  <c r="B63" i="10"/>
  <c r="B58" i="10"/>
  <c r="B64" i="10"/>
  <c r="B54" i="10"/>
  <c r="B73" i="10"/>
  <c r="B77" i="10"/>
  <c r="B56" i="10"/>
  <c r="B79" i="10"/>
  <c r="B78" i="10"/>
  <c r="B62" i="10"/>
  <c r="B48" i="10"/>
  <c r="B53" i="10"/>
  <c r="B41" i="10"/>
  <c r="B50" i="10"/>
  <c r="B66" i="10"/>
  <c r="B47" i="10"/>
  <c r="B75" i="10"/>
  <c r="B71" i="10"/>
  <c r="B70" i="10"/>
  <c r="B74" i="10"/>
  <c r="B35" i="10"/>
  <c r="B52" i="10"/>
  <c r="B46" i="9"/>
  <c r="B49" i="10"/>
  <c r="B46" i="10"/>
  <c r="C46" i="10" s="1"/>
  <c r="C80" i="10" s="1"/>
  <c r="B36" i="10"/>
  <c r="B37" i="10"/>
  <c r="B38" i="10"/>
  <c r="B40" i="10"/>
  <c r="B44" i="10"/>
  <c r="B34" i="10"/>
  <c r="B39" i="10"/>
  <c r="B43" i="10"/>
  <c r="B32" i="10"/>
  <c r="B33" i="10"/>
  <c r="B52" i="9"/>
  <c r="B51" i="9"/>
  <c r="B92" i="9"/>
  <c r="B70" i="9"/>
  <c r="B72" i="9"/>
  <c r="B76" i="9"/>
  <c r="B83" i="9"/>
  <c r="B86" i="9"/>
  <c r="B75" i="9"/>
  <c r="B87" i="9"/>
  <c r="B89" i="9"/>
  <c r="B97" i="9"/>
  <c r="B94" i="9"/>
  <c r="B21" i="10"/>
  <c r="B67" i="9"/>
  <c r="B66" i="9" s="1"/>
  <c r="B26" i="10" s="1"/>
  <c r="B77" i="9"/>
  <c r="B90" i="9"/>
  <c r="B93" i="9"/>
  <c r="B91" i="9"/>
  <c r="B47" i="9"/>
  <c r="B54" i="9"/>
  <c r="B49" i="9"/>
  <c r="B35" i="9"/>
  <c r="B34" i="9"/>
  <c r="B33" i="9"/>
  <c r="B29" i="9"/>
  <c r="B44" i="9"/>
  <c r="B48" i="9"/>
  <c r="B50" i="9"/>
  <c r="B45" i="9"/>
  <c r="B57" i="9"/>
  <c r="B26" i="9"/>
  <c r="B23" i="9"/>
  <c r="B20" i="9"/>
  <c r="E78" i="10"/>
  <c r="B69" i="9" l="1"/>
  <c r="B27" i="10" s="1"/>
  <c r="B17" i="9"/>
  <c r="B14" i="10" s="1"/>
  <c r="B42" i="9"/>
  <c r="B18" i="10" s="1"/>
  <c r="B28" i="9"/>
  <c r="B15" i="10" s="1"/>
  <c r="B45" i="10"/>
  <c r="B80" i="10"/>
  <c r="AL95" i="10"/>
  <c r="AJ86" i="10"/>
  <c r="N131" i="9"/>
  <c r="M131" i="9"/>
  <c r="N153" i="9"/>
  <c r="N110" i="9"/>
  <c r="N112" i="9"/>
  <c r="N123" i="9"/>
  <c r="N137" i="9"/>
  <c r="N104" i="9"/>
  <c r="N147" i="9"/>
  <c r="N135" i="9"/>
  <c r="N138" i="9"/>
  <c r="N109" i="9"/>
  <c r="N155" i="9"/>
  <c r="N130" i="9"/>
  <c r="N121" i="9"/>
  <c r="N119" i="9"/>
  <c r="N129" i="9"/>
  <c r="N117" i="9"/>
  <c r="N115" i="9"/>
  <c r="N113" i="9"/>
  <c r="N108" i="9"/>
  <c r="M108" i="9"/>
  <c r="N157" i="9"/>
  <c r="N70" i="9"/>
  <c r="N76" i="9"/>
  <c r="N91" i="9"/>
  <c r="N83" i="9"/>
  <c r="N46" i="9"/>
  <c r="N61" i="9"/>
  <c r="N25" i="9"/>
  <c r="N54" i="9"/>
  <c r="N23" i="9"/>
  <c r="N22" i="9"/>
  <c r="N20" i="9"/>
  <c r="AJ12" i="10" l="1"/>
  <c r="N159" i="9"/>
  <c r="N114" i="9" l="1"/>
  <c r="AU21" i="10" l="1"/>
  <c r="AT21" i="10"/>
  <c r="AU14" i="10"/>
  <c r="AT14" i="10"/>
  <c r="AV13" i="10"/>
  <c r="AV12" i="10"/>
  <c r="AH86" i="10"/>
  <c r="M153" i="9"/>
  <c r="M139" i="9"/>
  <c r="M112" i="9"/>
  <c r="M123" i="9"/>
  <c r="M137" i="9"/>
  <c r="M133" i="9"/>
  <c r="M104" i="9"/>
  <c r="M148" i="9"/>
  <c r="M109" i="9"/>
  <c r="M155" i="9"/>
  <c r="M121" i="9"/>
  <c r="M119" i="9"/>
  <c r="M117" i="9"/>
  <c r="M115" i="9"/>
  <c r="M113" i="9"/>
  <c r="M107" i="9"/>
  <c r="M152" i="9"/>
  <c r="M158" i="9"/>
  <c r="M157" i="9"/>
  <c r="M150" i="9"/>
  <c r="M134" i="9"/>
  <c r="M161" i="9"/>
  <c r="M160" i="9"/>
  <c r="M61" i="9"/>
  <c r="M97" i="9"/>
  <c r="M83" i="9"/>
  <c r="M75" i="9"/>
  <c r="M70" i="9"/>
  <c r="M49" i="9"/>
  <c r="M21" i="9"/>
  <c r="M25" i="9"/>
  <c r="M47" i="9"/>
  <c r="M54" i="9"/>
  <c r="M20" i="9"/>
  <c r="M110" i="9" l="1"/>
  <c r="M42" i="9"/>
  <c r="M159" i="9" l="1"/>
  <c r="M114" i="9" l="1"/>
  <c r="P181" i="9" l="1"/>
  <c r="AD87" i="10" l="1"/>
  <c r="AD86" i="10"/>
  <c r="AD88" i="10" s="1"/>
  <c r="L153" i="9"/>
  <c r="L139" i="9"/>
  <c r="L112" i="9"/>
  <c r="L123" i="9"/>
  <c r="L133" i="9"/>
  <c r="L104" i="9"/>
  <c r="L154" i="9"/>
  <c r="L109" i="9"/>
  <c r="L155" i="9"/>
  <c r="L119" i="9"/>
  <c r="L121" i="9"/>
  <c r="L117" i="9"/>
  <c r="L115" i="9"/>
  <c r="L137" i="9"/>
  <c r="L113" i="9"/>
  <c r="L108" i="9"/>
  <c r="L107" i="9"/>
  <c r="L127" i="9"/>
  <c r="L152" i="9"/>
  <c r="L135" i="9"/>
  <c r="L158" i="9"/>
  <c r="L157" i="9"/>
  <c r="L150" i="9"/>
  <c r="L134" i="9"/>
  <c r="L161" i="9"/>
  <c r="L160" i="9"/>
  <c r="L61" i="9"/>
  <c r="L97" i="9"/>
  <c r="L67" i="9"/>
  <c r="L66" i="9" s="1"/>
  <c r="L83" i="9"/>
  <c r="L75" i="9"/>
  <c r="L72" i="9"/>
  <c r="L70" i="9"/>
  <c r="L19" i="9"/>
  <c r="L49" i="9"/>
  <c r="L25" i="9"/>
  <c r="L48" i="9"/>
  <c r="L47" i="9"/>
  <c r="L54" i="9"/>
  <c r="L23" i="9"/>
  <c r="L20" i="9"/>
  <c r="L42" i="9" l="1"/>
  <c r="AF11" i="10" l="1"/>
  <c r="K135" i="9" l="1"/>
  <c r="J135" i="9"/>
  <c r="K110" i="9"/>
  <c r="J110" i="9"/>
  <c r="K103" i="9"/>
  <c r="J103" i="9"/>
  <c r="K138" i="9"/>
  <c r="K109" i="9"/>
  <c r="K155" i="9"/>
  <c r="K121" i="9"/>
  <c r="K119" i="9"/>
  <c r="K117" i="9"/>
  <c r="K115" i="9"/>
  <c r="K113" i="9"/>
  <c r="K108" i="9"/>
  <c r="K107" i="9"/>
  <c r="K152" i="9"/>
  <c r="K158" i="9"/>
  <c r="K116" i="9"/>
  <c r="K157" i="9"/>
  <c r="K150" i="9"/>
  <c r="K134" i="9"/>
  <c r="K131" i="9"/>
  <c r="K161" i="9"/>
  <c r="K160" i="9"/>
  <c r="K153" i="9"/>
  <c r="K139" i="9"/>
  <c r="K112" i="9"/>
  <c r="K123" i="9"/>
  <c r="K137" i="9"/>
  <c r="K133" i="9"/>
  <c r="K104" i="9"/>
  <c r="K97" i="9"/>
  <c r="K83" i="9"/>
  <c r="K72" i="9"/>
  <c r="K70" i="9"/>
  <c r="K149" i="9"/>
  <c r="K148" i="9"/>
  <c r="K61" i="9"/>
  <c r="K46" i="9"/>
  <c r="K23" i="9"/>
  <c r="K49" i="9"/>
  <c r="K25" i="9"/>
  <c r="K54" i="9"/>
  <c r="K75" i="9"/>
  <c r="J75" i="9"/>
  <c r="Z11" i="10" l="1"/>
  <c r="X85" i="10"/>
  <c r="X81" i="10"/>
  <c r="AM59" i="10"/>
  <c r="J155" i="9"/>
  <c r="J153" i="9"/>
  <c r="J139" i="9"/>
  <c r="J119" i="9"/>
  <c r="J112" i="9"/>
  <c r="J123" i="9"/>
  <c r="J137" i="9"/>
  <c r="J133" i="9"/>
  <c r="J104" i="9"/>
  <c r="J149" i="9"/>
  <c r="J109" i="9"/>
  <c r="J130" i="9"/>
  <c r="J121" i="9"/>
  <c r="J129" i="9"/>
  <c r="J117" i="9"/>
  <c r="J115" i="9"/>
  <c r="J113" i="9"/>
  <c r="J108" i="9"/>
  <c r="J107" i="9"/>
  <c r="J152" i="9"/>
  <c r="J158" i="9"/>
  <c r="J157" i="9"/>
  <c r="J150" i="9"/>
  <c r="J134" i="9"/>
  <c r="J161" i="9"/>
  <c r="J160" i="9"/>
  <c r="J48" i="9"/>
  <c r="J47" i="9"/>
  <c r="J97" i="9"/>
  <c r="J92" i="9"/>
  <c r="J77" i="9"/>
  <c r="J72" i="9"/>
  <c r="J70" i="9"/>
  <c r="J61" i="9"/>
  <c r="J49" i="9"/>
  <c r="J25" i="9"/>
  <c r="J54" i="9"/>
  <c r="J23" i="9"/>
  <c r="J20" i="9"/>
  <c r="J88" i="9" l="1"/>
  <c r="J42" i="9"/>
  <c r="U84" i="10" l="1"/>
  <c r="X84" i="10" s="1"/>
  <c r="U83" i="10"/>
  <c r="X83" i="10" s="1"/>
  <c r="U30" i="10"/>
  <c r="X87" i="10"/>
  <c r="AM50" i="10"/>
  <c r="AM73" i="10"/>
  <c r="AM58" i="10"/>
  <c r="AM57" i="10"/>
  <c r="AM56" i="10"/>
  <c r="AM49" i="10"/>
  <c r="AM75" i="10"/>
  <c r="W55" i="10"/>
  <c r="AM74" i="10"/>
  <c r="I131" i="9"/>
  <c r="U65" i="10" s="1"/>
  <c r="AM65" i="10" s="1"/>
  <c r="U88" i="10" l="1"/>
  <c r="S45" i="10" l="1"/>
  <c r="M45" i="10"/>
  <c r="J45" i="10"/>
  <c r="G45" i="10"/>
  <c r="F45" i="10"/>
  <c r="D45" i="10"/>
  <c r="S80" i="10"/>
  <c r="J80" i="10"/>
  <c r="G80" i="10"/>
  <c r="F80" i="10"/>
  <c r="D80" i="10"/>
  <c r="S12" i="10"/>
  <c r="T64" i="10"/>
  <c r="T60" i="10"/>
  <c r="T59" i="10"/>
  <c r="S19" i="10"/>
  <c r="T84" i="10"/>
  <c r="T83" i="10"/>
  <c r="R82" i="10"/>
  <c r="T82" i="10" s="1"/>
  <c r="R81" i="10"/>
  <c r="T68" i="10"/>
  <c r="T65" i="10"/>
  <c r="T62" i="10"/>
  <c r="T61" i="10"/>
  <c r="T51" i="10"/>
  <c r="T50" i="10"/>
  <c r="T72" i="10"/>
  <c r="T69" i="10"/>
  <c r="T73" i="10"/>
  <c r="T55" i="10"/>
  <c r="T58" i="10"/>
  <c r="T57" i="10"/>
  <c r="T63" i="10"/>
  <c r="T56" i="10"/>
  <c r="T54" i="10"/>
  <c r="T52" i="10"/>
  <c r="T49" i="10"/>
  <c r="T71" i="10"/>
  <c r="T75" i="10"/>
  <c r="T67" i="10"/>
  <c r="T74" i="10"/>
  <c r="T70" i="10"/>
  <c r="T66" i="10"/>
  <c r="T78" i="10"/>
  <c r="T79" i="10"/>
  <c r="T77" i="10"/>
  <c r="T9" i="10"/>
  <c r="T47" i="10" l="1"/>
  <c r="T87" i="10"/>
  <c r="R88" i="10"/>
  <c r="T48" i="10"/>
  <c r="R12" i="10" l="1"/>
  <c r="AN87" i="10" l="1"/>
  <c r="AN86" i="10"/>
  <c r="AN85" i="10"/>
  <c r="AM85" i="10"/>
  <c r="AN84" i="10"/>
  <c r="AN83" i="10"/>
  <c r="AN82" i="10"/>
  <c r="AN81" i="10"/>
  <c r="P88" i="10"/>
  <c r="Q59" i="10"/>
  <c r="Q60" i="10"/>
  <c r="Q64" i="10"/>
  <c r="Q33" i="10"/>
  <c r="Q36" i="10"/>
  <c r="Q42" i="10"/>
  <c r="AO85" i="10" l="1"/>
  <c r="AZ85" i="10" s="1"/>
  <c r="P45" i="10"/>
  <c r="P80" i="10"/>
  <c r="Q69" i="10"/>
  <c r="Q67" i="10"/>
  <c r="Q62" i="10"/>
  <c r="Q61" i="10"/>
  <c r="Q51" i="10"/>
  <c r="Q38" i="10"/>
  <c r="Q56" i="10"/>
  <c r="Q49" i="10"/>
  <c r="H101" i="9"/>
  <c r="Q50" i="10"/>
  <c r="Q73" i="10"/>
  <c r="Q55" i="10"/>
  <c r="Q58" i="10"/>
  <c r="Q57" i="10"/>
  <c r="Q63" i="10"/>
  <c r="Q54" i="10"/>
  <c r="Q52" i="10"/>
  <c r="F108" i="9"/>
  <c r="F163" i="9" s="1"/>
  <c r="Q48" i="10"/>
  <c r="Q71" i="10"/>
  <c r="Q75" i="10"/>
  <c r="Q74" i="10"/>
  <c r="Q70" i="10"/>
  <c r="Q66" i="10"/>
  <c r="Q65" i="10"/>
  <c r="Q79" i="10"/>
  <c r="Q77" i="10"/>
  <c r="Q72" i="10"/>
  <c r="Q37" i="10"/>
  <c r="H102" i="9"/>
  <c r="Q41" i="10"/>
  <c r="Q35" i="10"/>
  <c r="Q39" i="10"/>
  <c r="Q43" i="10"/>
  <c r="Q40" i="10"/>
  <c r="D66" i="9"/>
  <c r="F26" i="10" s="1"/>
  <c r="AM26" i="10" s="1"/>
  <c r="E66" i="9"/>
  <c r="F92" i="9"/>
  <c r="F88" i="9" s="1"/>
  <c r="L29" i="10" s="1"/>
  <c r="AM84" i="10"/>
  <c r="AM83" i="10"/>
  <c r="Q44" i="10"/>
  <c r="Q78" i="10"/>
  <c r="Q68" i="10"/>
  <c r="F21" i="9"/>
  <c r="F22" i="9"/>
  <c r="F17" i="9" l="1"/>
  <c r="L14" i="10" s="1"/>
  <c r="AM14" i="10" s="1"/>
  <c r="AO83" i="10"/>
  <c r="AZ83" i="10" s="1"/>
  <c r="AO84" i="10"/>
  <c r="AZ84" i="10" s="1"/>
  <c r="Q34" i="10"/>
  <c r="Q47" i="10"/>
  <c r="G74" i="9"/>
  <c r="O28" i="10" s="1"/>
  <c r="G190" i="9"/>
  <c r="G188" i="9"/>
  <c r="G187" i="9"/>
  <c r="N79" i="10" l="1"/>
  <c r="N77" i="10"/>
  <c r="N78" i="10"/>
  <c r="M80" i="10" l="1"/>
  <c r="L18" i="10"/>
  <c r="R45" i="10" l="1"/>
  <c r="AM46" i="10"/>
  <c r="T46" i="10"/>
  <c r="K78" i="10" l="1"/>
  <c r="E163" i="9" l="1"/>
  <c r="O14" i="9"/>
  <c r="O13" i="9" l="1"/>
  <c r="O12" i="9"/>
  <c r="O8" i="9"/>
  <c r="O6" i="9"/>
  <c r="O9" i="9"/>
  <c r="O7" i="9"/>
  <c r="O10" i="9"/>
  <c r="O11" i="9"/>
  <c r="H78" i="10" l="1"/>
  <c r="D175" i="9" l="1"/>
  <c r="AO78" i="10" l="1"/>
  <c r="AZ78" i="10" s="1"/>
  <c r="AM43" i="10"/>
  <c r="AM42" i="10"/>
  <c r="AM21" i="10"/>
  <c r="AP78" i="10" l="1"/>
  <c r="C44" i="10"/>
  <c r="C45" i="10" s="1"/>
  <c r="AM39" i="10"/>
  <c r="B168" i="9"/>
  <c r="B169" i="9"/>
  <c r="C75" i="9"/>
  <c r="C74" i="9" s="1"/>
  <c r="C28" i="10" s="1"/>
  <c r="B136" i="9" l="1"/>
  <c r="AL68" i="10" l="1"/>
  <c r="AL69" i="10"/>
  <c r="AL73" i="10"/>
  <c r="AL44" i="10"/>
  <c r="AL43" i="10"/>
  <c r="AL42" i="10"/>
  <c r="AL39" i="10"/>
  <c r="AL38" i="10"/>
  <c r="AL37" i="10"/>
  <c r="AL36" i="10"/>
  <c r="B172" i="9"/>
  <c r="O185" i="9"/>
  <c r="AL67" i="10"/>
  <c r="N69" i="9"/>
  <c r="AV11" i="10" l="1"/>
  <c r="AV14" i="10" s="1"/>
  <c r="AI87" i="10" l="1"/>
  <c r="AI86" i="10"/>
  <c r="AI85" i="10"/>
  <c r="AI84" i="10"/>
  <c r="AI83" i="10"/>
  <c r="AI82" i="10"/>
  <c r="AI81" i="10"/>
  <c r="AI67" i="10"/>
  <c r="AI64" i="10"/>
  <c r="AI61" i="10"/>
  <c r="AI42" i="10"/>
  <c r="AI37" i="10"/>
  <c r="AI9" i="10"/>
  <c r="AI10" i="10"/>
  <c r="AH88" i="10"/>
  <c r="AV16" i="10"/>
  <c r="AI68" i="10" l="1"/>
  <c r="AI63" i="10"/>
  <c r="AI62" i="10"/>
  <c r="AI60" i="10"/>
  <c r="AI57" i="10"/>
  <c r="AI49" i="10"/>
  <c r="AI38" i="10"/>
  <c r="AI36" i="10"/>
  <c r="AI35" i="10"/>
  <c r="AF87" i="10" l="1"/>
  <c r="AF86" i="10"/>
  <c r="AF85" i="10"/>
  <c r="AF84" i="10"/>
  <c r="AF83" i="10"/>
  <c r="AF82" i="10"/>
  <c r="AF81" i="10"/>
  <c r="AF73" i="10"/>
  <c r="AF64" i="10"/>
  <c r="AF63" i="10"/>
  <c r="AF55" i="10"/>
  <c r="AF42" i="10"/>
  <c r="AF38" i="10"/>
  <c r="AF37" i="10"/>
  <c r="T10" i="10"/>
  <c r="AF9" i="10"/>
  <c r="AF7" i="10"/>
  <c r="AF10" i="10" l="1"/>
  <c r="AF8" i="10"/>
  <c r="AU17" i="10"/>
  <c r="AF62" i="10"/>
  <c r="AF60" i="10"/>
  <c r="AF57" i="10"/>
  <c r="AF36" i="10"/>
  <c r="AF35" i="10"/>
  <c r="O147" i="9"/>
  <c r="O125" i="9"/>
  <c r="O87" i="9"/>
  <c r="O50" i="9"/>
  <c r="O43" i="9"/>
  <c r="O19" i="9"/>
  <c r="E168" i="9"/>
  <c r="F168" i="9"/>
  <c r="L168" i="9"/>
  <c r="AF54" i="10" l="1"/>
  <c r="AE12" i="10"/>
  <c r="AF56" i="10"/>
  <c r="AF44" i="10" l="1"/>
  <c r="AF33" i="10"/>
  <c r="O67" i="9"/>
  <c r="O66" i="9" s="1"/>
  <c r="AF65" i="10"/>
  <c r="AF49" i="10"/>
  <c r="AF52" i="10"/>
  <c r="AF61" i="10"/>
  <c r="AV15" i="10"/>
  <c r="AV17" i="10"/>
  <c r="AV18" i="10"/>
  <c r="AV19" i="10"/>
  <c r="AC68" i="10"/>
  <c r="AC11" i="10"/>
  <c r="AC42" i="10"/>
  <c r="AC37" i="10"/>
  <c r="AC69" i="10"/>
  <c r="AC73" i="10"/>
  <c r="AC10" i="10"/>
  <c r="AC36" i="10"/>
  <c r="AC7" i="10"/>
  <c r="AC8" i="10"/>
  <c r="AC9" i="10"/>
  <c r="K129" i="9"/>
  <c r="AC35" i="10"/>
  <c r="AC40" i="10"/>
  <c r="AC75" i="10"/>
  <c r="AC74" i="10"/>
  <c r="AC70" i="10"/>
  <c r="AC66" i="10"/>
  <c r="AC77" i="10"/>
  <c r="U45" i="10" l="1"/>
  <c r="X45" i="10"/>
  <c r="AF68" i="10"/>
  <c r="AC38" i="10"/>
  <c r="O120" i="9"/>
  <c r="AC43" i="10"/>
  <c r="AC65" i="10"/>
  <c r="O46" i="9"/>
  <c r="AC67" i="10"/>
  <c r="O143" i="9"/>
  <c r="AC71" i="10"/>
  <c r="O149" i="9"/>
  <c r="O36" i="9"/>
  <c r="K74" i="9"/>
  <c r="AC41" i="10"/>
  <c r="AC39" i="10"/>
  <c r="AB12" i="10"/>
  <c r="AM87" i="10" l="1"/>
  <c r="AC44" i="10"/>
  <c r="AC33" i="10"/>
  <c r="AC34" i="10"/>
  <c r="AC79" i="10"/>
  <c r="AO87" i="10" l="1"/>
  <c r="AP87" i="10" s="1"/>
  <c r="Z42" i="10"/>
  <c r="Z37" i="10"/>
  <c r="AZ87" i="10" l="1"/>
  <c r="Z39" i="10"/>
  <c r="Z44" i="10" l="1"/>
  <c r="Z43" i="10"/>
  <c r="Z41" i="10"/>
  <c r="Z40" i="10"/>
  <c r="Z38" i="10"/>
  <c r="Z36" i="10"/>
  <c r="Z35" i="10"/>
  <c r="Z32" i="10"/>
  <c r="Y22" i="10"/>
  <c r="Z9" i="10"/>
  <c r="Z10" i="10"/>
  <c r="Z33" i="10" l="1"/>
  <c r="Y12" i="10"/>
  <c r="V88" i="10"/>
  <c r="W9" i="10"/>
  <c r="W10" i="10"/>
  <c r="W68" i="10"/>
  <c r="W42" i="10"/>
  <c r="W38" i="10"/>
  <c r="W36" i="10"/>
  <c r="O151" i="9"/>
  <c r="O81" i="9"/>
  <c r="O24" i="9"/>
  <c r="W11" i="10"/>
  <c r="W67" i="10" l="1"/>
  <c r="W44" i="10"/>
  <c r="O116" i="9"/>
  <c r="O39" i="9"/>
  <c r="O38" i="9" s="1"/>
  <c r="O113" i="9"/>
  <c r="O108" i="9"/>
  <c r="O119" i="9"/>
  <c r="V12" i="10"/>
  <c r="AI8" i="10" l="1"/>
  <c r="Z8" i="10"/>
  <c r="AI7" i="10"/>
  <c r="Z7" i="10"/>
  <c r="Z6" i="10"/>
  <c r="W7" i="10"/>
  <c r="S88" i="10" l="1"/>
  <c r="S89" i="10" s="1"/>
  <c r="T42" i="10"/>
  <c r="T37" i="10"/>
  <c r="T34" i="10"/>
  <c r="T33" i="10"/>
  <c r="E25" i="10"/>
  <c r="T32" i="10"/>
  <c r="T36" i="10"/>
  <c r="T38" i="10"/>
  <c r="Q17" i="10"/>
  <c r="Q16" i="10"/>
  <c r="N17" i="10"/>
  <c r="N16" i="10"/>
  <c r="T43" i="10" l="1"/>
  <c r="T35" i="10"/>
  <c r="T44" i="10"/>
  <c r="O95" i="9"/>
  <c r="O78" i="9"/>
  <c r="H7" i="10" l="1"/>
  <c r="H8" i="10"/>
  <c r="H9" i="10"/>
  <c r="H10" i="10"/>
  <c r="N10" i="10"/>
  <c r="Q11" i="10"/>
  <c r="M12" i="10"/>
  <c r="AM81" i="10" l="1"/>
  <c r="AO81" i="10" l="1"/>
  <c r="AZ81" i="10" s="1"/>
  <c r="O88" i="10"/>
  <c r="O20" i="9"/>
  <c r="O32" i="9"/>
  <c r="P19" i="10" l="1"/>
  <c r="P31" i="10"/>
  <c r="Q21" i="10" l="1"/>
  <c r="N43" i="10" l="1"/>
  <c r="N41" i="10"/>
  <c r="N40" i="10"/>
  <c r="N39" i="10"/>
  <c r="N69" i="10"/>
  <c r="N70" i="10"/>
  <c r="AM82" i="10" l="1"/>
  <c r="N73" i="10"/>
  <c r="N68" i="10"/>
  <c r="N38" i="10"/>
  <c r="N36" i="10"/>
  <c r="N35" i="10"/>
  <c r="N9" i="10"/>
  <c r="F77" i="9"/>
  <c r="F76" i="9"/>
  <c r="F74" i="9" s="1"/>
  <c r="L28" i="10" s="1"/>
  <c r="AO82" i="10" l="1"/>
  <c r="AZ82" i="10" s="1"/>
  <c r="N37" i="10"/>
  <c r="O72" i="9"/>
  <c r="O77" i="9"/>
  <c r="J22" i="10" l="1"/>
  <c r="K9" i="10"/>
  <c r="K10" i="10"/>
  <c r="J12" i="10"/>
  <c r="M142" i="9" l="1"/>
  <c r="M118" i="9"/>
  <c r="O118" i="9" s="1"/>
  <c r="N86" i="9"/>
  <c r="M86" i="9"/>
  <c r="O80" i="9"/>
  <c r="N67" i="10"/>
  <c r="K73" i="10"/>
  <c r="K70" i="10"/>
  <c r="AM35" i="10"/>
  <c r="K11" i="10"/>
  <c r="E9" i="10"/>
  <c r="E11" i="10"/>
  <c r="O86" i="9" l="1"/>
  <c r="K37" i="10"/>
  <c r="AM37" i="10"/>
  <c r="K38" i="10"/>
  <c r="AM38" i="10"/>
  <c r="K36" i="10"/>
  <c r="AM36" i="10"/>
  <c r="K35" i="10"/>
  <c r="K67" i="10"/>
  <c r="K68" i="10"/>
  <c r="AF67" i="10"/>
  <c r="O135" i="9"/>
  <c r="B74" i="9"/>
  <c r="B28" i="10" s="1"/>
  <c r="H79" i="10" l="1"/>
  <c r="H77" i="10"/>
  <c r="H76" i="10"/>
  <c r="H75" i="10"/>
  <c r="H74" i="10"/>
  <c r="H73" i="10"/>
  <c r="H72" i="10"/>
  <c r="H71" i="10"/>
  <c r="H70" i="10"/>
  <c r="H69" i="10"/>
  <c r="H68" i="10"/>
  <c r="H67" i="10"/>
  <c r="H66" i="10"/>
  <c r="AN33" i="10"/>
  <c r="AN36" i="10"/>
  <c r="AN37" i="10"/>
  <c r="AN38" i="10"/>
  <c r="AN39" i="10"/>
  <c r="AN40" i="10"/>
  <c r="AN41" i="10"/>
  <c r="AN42" i="10"/>
  <c r="AN43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45" i="10" l="1"/>
  <c r="AO38" i="10"/>
  <c r="AZ38" i="10" s="1"/>
  <c r="AO37" i="10"/>
  <c r="AZ37" i="10" s="1"/>
  <c r="AP38" i="10" l="1"/>
  <c r="AP37" i="10"/>
  <c r="A33" i="10"/>
  <c r="F88" i="10" l="1"/>
  <c r="AN44" i="10"/>
  <c r="AH12" i="10" l="1"/>
  <c r="AG12" i="10"/>
  <c r="AD12" i="10"/>
  <c r="X12" i="10"/>
  <c r="U12" i="10"/>
  <c r="G12" i="10"/>
  <c r="D12" i="10"/>
  <c r="E38" i="10"/>
  <c r="E33" i="10"/>
  <c r="V80" i="10"/>
  <c r="Y80" i="10"/>
  <c r="AB80" i="10"/>
  <c r="AE80" i="10"/>
  <c r="AH80" i="10"/>
  <c r="AK80" i="10"/>
  <c r="D88" i="10"/>
  <c r="G88" i="10"/>
  <c r="J88" i="10"/>
  <c r="M88" i="10"/>
  <c r="X88" i="10"/>
  <c r="Y88" i="10"/>
  <c r="AB88" i="10"/>
  <c r="AE88" i="10"/>
  <c r="AG88" i="10"/>
  <c r="AJ88" i="10"/>
  <c r="AK88" i="10"/>
  <c r="V45" i="10"/>
  <c r="Y45" i="10"/>
  <c r="AB45" i="10"/>
  <c r="AE45" i="10"/>
  <c r="AH45" i="10"/>
  <c r="E54" i="10"/>
  <c r="E55" i="10"/>
  <c r="E56" i="10"/>
  <c r="E57" i="10"/>
  <c r="E60" i="10"/>
  <c r="E63" i="10"/>
  <c r="E64" i="10"/>
  <c r="E65" i="10"/>
  <c r="E67" i="10"/>
  <c r="E68" i="10"/>
  <c r="E69" i="10"/>
  <c r="E70" i="10"/>
  <c r="E37" i="10"/>
  <c r="E42" i="10"/>
  <c r="A36" i="10"/>
  <c r="A35" i="10"/>
  <c r="A39" i="10"/>
  <c r="A40" i="10"/>
  <c r="A41" i="10"/>
  <c r="A42" i="10"/>
  <c r="A43" i="10"/>
  <c r="A44" i="10"/>
  <c r="A34" i="10"/>
  <c r="H55" i="10"/>
  <c r="K55" i="10"/>
  <c r="N55" i="10"/>
  <c r="AC55" i="10"/>
  <c r="AI55" i="10"/>
  <c r="AL55" i="10"/>
  <c r="H63" i="10"/>
  <c r="K63" i="10"/>
  <c r="N63" i="10"/>
  <c r="AC63" i="10"/>
  <c r="AL63" i="10"/>
  <c r="A81" i="10"/>
  <c r="A82" i="10"/>
  <c r="A83" i="10"/>
  <c r="A84" i="10"/>
  <c r="A85" i="10"/>
  <c r="O130" i="9"/>
  <c r="O117" i="9"/>
  <c r="O136" i="9"/>
  <c r="O140" i="9"/>
  <c r="K74" i="10"/>
  <c r="O148" i="9"/>
  <c r="O141" i="9"/>
  <c r="O142" i="9"/>
  <c r="O144" i="9"/>
  <c r="O145" i="9"/>
  <c r="O146" i="9"/>
  <c r="N42" i="10"/>
  <c r="D69" i="9"/>
  <c r="F27" i="10" s="1"/>
  <c r="F69" i="9"/>
  <c r="L27" i="10" s="1"/>
  <c r="G69" i="9"/>
  <c r="O27" i="10" s="1"/>
  <c r="J69" i="9"/>
  <c r="K69" i="9"/>
  <c r="L69" i="9"/>
  <c r="M69" i="9"/>
  <c r="O92" i="9"/>
  <c r="O91" i="9"/>
  <c r="O89" i="9"/>
  <c r="O82" i="9"/>
  <c r="O84" i="9"/>
  <c r="AM27" i="10" l="1"/>
  <c r="AM11" i="10"/>
  <c r="H11" i="10"/>
  <c r="F12" i="10"/>
  <c r="AO55" i="10"/>
  <c r="AZ55" i="10" s="1"/>
  <c r="W70" i="10"/>
  <c r="AB89" i="10"/>
  <c r="K42" i="10"/>
  <c r="AO42" i="10"/>
  <c r="AZ42" i="10" s="1"/>
  <c r="P89" i="10"/>
  <c r="AE89" i="10"/>
  <c r="AH89" i="10"/>
  <c r="D89" i="10"/>
  <c r="E79" i="10"/>
  <c r="V89" i="10"/>
  <c r="E41" i="10"/>
  <c r="E74" i="10"/>
  <c r="E52" i="10"/>
  <c r="J89" i="10"/>
  <c r="AO63" i="10"/>
  <c r="AZ63" i="10" s="1"/>
  <c r="Y89" i="10"/>
  <c r="E51" i="10"/>
  <c r="C88" i="10"/>
  <c r="E73" i="10"/>
  <c r="E62" i="10"/>
  <c r="E61" i="10"/>
  <c r="E49" i="10"/>
  <c r="AO68" i="10"/>
  <c r="AZ68" i="10" s="1"/>
  <c r="E35" i="10"/>
  <c r="AO67" i="10"/>
  <c r="AZ67" i="10" s="1"/>
  <c r="E36" i="10"/>
  <c r="O79" i="9"/>
  <c r="L76" i="9"/>
  <c r="O70" i="9"/>
  <c r="O61" i="9"/>
  <c r="AP63" i="10" l="1"/>
  <c r="AP55" i="10"/>
  <c r="AP42" i="10"/>
  <c r="M76" i="9"/>
  <c r="O69" i="9"/>
  <c r="K41" i="10"/>
  <c r="AP68" i="10"/>
  <c r="AP67" i="10"/>
  <c r="O76" i="9" l="1"/>
  <c r="M74" i="9"/>
  <c r="AF70" i="10"/>
  <c r="N150" i="9"/>
  <c r="K79" i="10"/>
  <c r="N74" i="10"/>
  <c r="K47" i="9"/>
  <c r="D47" i="9"/>
  <c r="D42" i="9" s="1"/>
  <c r="O27" i="9"/>
  <c r="O37" i="9"/>
  <c r="O40" i="9"/>
  <c r="O21" i="9"/>
  <c r="O22" i="9"/>
  <c r="K7" i="10"/>
  <c r="N7" i="10"/>
  <c r="K8" i="10"/>
  <c r="N8" i="10"/>
  <c r="O150" i="9" l="1"/>
  <c r="AI70" i="10"/>
  <c r="AM79" i="10"/>
  <c r="O12" i="10"/>
  <c r="L12" i="10"/>
  <c r="I12" i="10"/>
  <c r="K15" i="9"/>
  <c r="L15" i="9"/>
  <c r="J15" i="9"/>
  <c r="I15" i="9"/>
  <c r="N15" i="9"/>
  <c r="M15" i="9"/>
  <c r="AO70" i="10" l="1"/>
  <c r="AZ70" i="10" s="1"/>
  <c r="AL70" i="10"/>
  <c r="O25" i="9"/>
  <c r="T41" i="10"/>
  <c r="AP70" i="10" l="1"/>
  <c r="AF41" i="10"/>
  <c r="AI74" i="10"/>
  <c r="N139" i="9"/>
  <c r="AM41" i="10" s="1"/>
  <c r="AI41" i="10"/>
  <c r="AF74" i="10"/>
  <c r="O47" i="9"/>
  <c r="AF79" i="10" l="1"/>
  <c r="O157" i="9"/>
  <c r="AL74" i="10"/>
  <c r="O139" i="9"/>
  <c r="AL41" i="10"/>
  <c r="AI79" i="10" l="1"/>
  <c r="N161" i="9"/>
  <c r="AO79" i="10" s="1"/>
  <c r="AZ79" i="10" s="1"/>
  <c r="AO74" i="10"/>
  <c r="AZ74" i="10" s="1"/>
  <c r="AP74" i="10" l="1"/>
  <c r="AP79" i="10"/>
  <c r="O161" i="9"/>
  <c r="AL79" i="10"/>
  <c r="AO41" i="10"/>
  <c r="AZ41" i="10" s="1"/>
  <c r="O75" i="9"/>
  <c r="AP41" i="10" l="1"/>
  <c r="C88" i="9"/>
  <c r="C29" i="10" s="1"/>
  <c r="C31" i="9"/>
  <c r="A12" i="9"/>
  <c r="A11" i="9"/>
  <c r="B88" i="9" l="1"/>
  <c r="B29" i="10" s="1"/>
  <c r="C30" i="9"/>
  <c r="C28" i="9" s="1"/>
  <c r="C15" i="10" s="1"/>
  <c r="AM15" i="10" s="1"/>
  <c r="D31" i="9"/>
  <c r="E31" i="9" s="1"/>
  <c r="I31" i="9" s="1"/>
  <c r="J31" i="9" s="1"/>
  <c r="K31" i="9" s="1"/>
  <c r="L31" i="9" s="1"/>
  <c r="M31" i="9" s="1"/>
  <c r="N31" i="9" s="1"/>
  <c r="AP85" i="10"/>
  <c r="AO62" i="10"/>
  <c r="AZ62" i="10" s="1"/>
  <c r="AO60" i="10"/>
  <c r="AZ60" i="10" s="1"/>
  <c r="AO57" i="10"/>
  <c r="AZ57" i="10" s="1"/>
  <c r="AO54" i="10"/>
  <c r="AZ54" i="10" s="1"/>
  <c r="AN30" i="10"/>
  <c r="AP54" i="10" l="1"/>
  <c r="O31" i="9"/>
  <c r="AP62" i="10"/>
  <c r="AP60" i="10"/>
  <c r="AP84" i="10"/>
  <c r="AP57" i="10"/>
  <c r="B88" i="10"/>
  <c r="D88" i="9"/>
  <c r="F29" i="10" s="1"/>
  <c r="O18" i="9"/>
  <c r="D30" i="9"/>
  <c r="AL27" i="10"/>
  <c r="F18" i="10" l="1"/>
  <c r="AM18" i="10" s="1"/>
  <c r="N49" i="9"/>
  <c r="K66" i="10"/>
  <c r="K77" i="10"/>
  <c r="K72" i="10"/>
  <c r="K76" i="10"/>
  <c r="K75" i="10"/>
  <c r="K71" i="10"/>
  <c r="T40" i="10"/>
  <c r="K34" i="10"/>
  <c r="E47" i="10"/>
  <c r="AL64" i="10"/>
  <c r="E44" i="10"/>
  <c r="E76" i="10"/>
  <c r="E71" i="10"/>
  <c r="E39" i="10"/>
  <c r="E59" i="10"/>
  <c r="E77" i="10"/>
  <c r="E58" i="10"/>
  <c r="E75" i="10"/>
  <c r="E66" i="10"/>
  <c r="E40" i="10"/>
  <c r="E53" i="10"/>
  <c r="E72" i="10"/>
  <c r="E43" i="10"/>
  <c r="E50" i="10"/>
  <c r="E34" i="10"/>
  <c r="D74" i="9"/>
  <c r="F28" i="10" s="1"/>
  <c r="E30" i="9"/>
  <c r="Q14" i="10" l="1"/>
  <c r="AV20" i="10"/>
  <c r="AV21" i="10" s="1"/>
  <c r="O83" i="9"/>
  <c r="N34" i="10"/>
  <c r="K39" i="10"/>
  <c r="L124" i="9"/>
  <c r="N66" i="10"/>
  <c r="N72" i="10"/>
  <c r="N71" i="10"/>
  <c r="K43" i="10"/>
  <c r="K40" i="10"/>
  <c r="K44" i="10"/>
  <c r="E74" i="9"/>
  <c r="AH22" i="10"/>
  <c r="I28" i="10" l="1"/>
  <c r="N44" i="10"/>
  <c r="AM44" i="10"/>
  <c r="O49" i="9"/>
  <c r="AF43" i="10"/>
  <c r="AI44" i="10"/>
  <c r="O137" i="9"/>
  <c r="M124" i="9"/>
  <c r="O154" i="9"/>
  <c r="T39" i="10"/>
  <c r="T45" i="10" s="1"/>
  <c r="AM77" i="10"/>
  <c r="N75" i="10"/>
  <c r="J17" i="9"/>
  <c r="AE22" i="10"/>
  <c r="AE31" i="10"/>
  <c r="AO44" i="10" l="1"/>
  <c r="AP44" i="10" s="1"/>
  <c r="Z34" i="10"/>
  <c r="Z45" i="10" s="1"/>
  <c r="AF50" i="10"/>
  <c r="Q18" i="10"/>
  <c r="AF39" i="10"/>
  <c r="AF40" i="10"/>
  <c r="AF59" i="10"/>
  <c r="AO43" i="10"/>
  <c r="AZ43" i="10" s="1"/>
  <c r="AI43" i="10"/>
  <c r="O123" i="9"/>
  <c r="O104" i="9"/>
  <c r="AI34" i="10"/>
  <c r="N133" i="9"/>
  <c r="AI40" i="10"/>
  <c r="N124" i="9"/>
  <c r="AF34" i="10"/>
  <c r="H88" i="9"/>
  <c r="R29" i="10" s="1"/>
  <c r="I48" i="9"/>
  <c r="K17" i="9"/>
  <c r="AZ44" i="10" l="1"/>
  <c r="O133" i="9"/>
  <c r="AM34" i="10"/>
  <c r="O109" i="9"/>
  <c r="AF71" i="10"/>
  <c r="O124" i="9"/>
  <c r="AF75" i="10"/>
  <c r="AO39" i="10"/>
  <c r="AZ39" i="10" s="1"/>
  <c r="AI39" i="10"/>
  <c r="AI59" i="10"/>
  <c r="AP43" i="10"/>
  <c r="N152" i="9"/>
  <c r="N158" i="9"/>
  <c r="N107" i="9"/>
  <c r="N105" i="9"/>
  <c r="AF48" i="10"/>
  <c r="AF58" i="10"/>
  <c r="AF47" i="10"/>
  <c r="R28" i="10"/>
  <c r="I88" i="9"/>
  <c r="U29" i="10" s="1"/>
  <c r="I30" i="9"/>
  <c r="L17" i="9"/>
  <c r="AO71" i="10" l="1"/>
  <c r="AZ71" i="10" s="1"/>
  <c r="AM40" i="10"/>
  <c r="AL40" i="10"/>
  <c r="AF77" i="10"/>
  <c r="AO75" i="10"/>
  <c r="AZ75" i="10" s="1"/>
  <c r="AO50" i="10"/>
  <c r="AZ50" i="10" s="1"/>
  <c r="AF66" i="10"/>
  <c r="O105" i="9"/>
  <c r="AP39" i="10"/>
  <c r="AI75" i="10"/>
  <c r="AI71" i="10"/>
  <c r="N134" i="9"/>
  <c r="AI66" i="10"/>
  <c r="Q15" i="10"/>
  <c r="M17" i="9"/>
  <c r="K48" i="9"/>
  <c r="J30" i="9"/>
  <c r="AP50" i="10" l="1"/>
  <c r="AO40" i="10"/>
  <c r="AP40" i="10" s="1"/>
  <c r="AL71" i="10"/>
  <c r="AL75" i="10"/>
  <c r="K42" i="9"/>
  <c r="N160" i="9"/>
  <c r="AO48" i="10"/>
  <c r="AZ48" i="10" s="1"/>
  <c r="AP71" i="10"/>
  <c r="AI58" i="10"/>
  <c r="AP75" i="10"/>
  <c r="O23" i="9"/>
  <c r="O17" i="9" s="1"/>
  <c r="K88" i="9"/>
  <c r="J74" i="9"/>
  <c r="K30" i="9"/>
  <c r="AZ40" i="10" l="1"/>
  <c r="AP48" i="10"/>
  <c r="AO77" i="10"/>
  <c r="AZ77" i="10" s="1"/>
  <c r="AL66" i="10"/>
  <c r="AI77" i="10"/>
  <c r="AO58" i="10"/>
  <c r="AZ58" i="10" s="1"/>
  <c r="AO66" i="10"/>
  <c r="AZ66" i="10" s="1"/>
  <c r="AO47" i="10"/>
  <c r="AZ47" i="10" s="1"/>
  <c r="L88" i="9"/>
  <c r="L30" i="9"/>
  <c r="AP47" i="10" l="1"/>
  <c r="AP66" i="10"/>
  <c r="AP58" i="10"/>
  <c r="AP77" i="10"/>
  <c r="AL77" i="10"/>
  <c r="AC64" i="10"/>
  <c r="N97" i="9"/>
  <c r="N88" i="9" s="1"/>
  <c r="M88" i="9"/>
  <c r="L74" i="9"/>
  <c r="M30" i="9"/>
  <c r="N48" i="9"/>
  <c r="N42" i="9" s="1"/>
  <c r="AB19" i="10"/>
  <c r="AB22" i="10"/>
  <c r="AB31" i="10"/>
  <c r="AM29" i="10" l="1"/>
  <c r="O48" i="9"/>
  <c r="O42" i="9"/>
  <c r="O97" i="9"/>
  <c r="N30" i="9"/>
  <c r="O30" i="9" s="1"/>
  <c r="O28" i="9" s="1"/>
  <c r="AB23" i="10"/>
  <c r="AB90" i="10" s="1"/>
  <c r="AB91" i="10" l="1"/>
  <c r="O88" i="9"/>
  <c r="N74" i="9"/>
  <c r="N17" i="9"/>
  <c r="AM28" i="10" l="1"/>
  <c r="AI28" i="10"/>
  <c r="O74" i="9"/>
  <c r="Y31" i="10" l="1"/>
  <c r="Y19" i="10"/>
  <c r="Y23" i="10" l="1"/>
  <c r="Y90" i="10" s="1"/>
  <c r="W8" i="10"/>
  <c r="Y91" i="10" l="1"/>
  <c r="V31" i="10"/>
  <c r="V19" i="10"/>
  <c r="V22" i="10"/>
  <c r="V23" i="10" l="1"/>
  <c r="V90" i="10" l="1"/>
  <c r="AI99" i="14"/>
  <c r="AI95" i="14"/>
  <c r="AK94" i="14"/>
  <c r="AI92" i="14"/>
  <c r="AI91" i="14"/>
  <c r="AI100" i="14" s="1"/>
  <c r="Z87" i="14"/>
  <c r="Y87" i="14"/>
  <c r="X87" i="14"/>
  <c r="X88" i="14" s="1"/>
  <c r="W87" i="14"/>
  <c r="V87" i="14"/>
  <c r="U87" i="14"/>
  <c r="S87" i="14"/>
  <c r="D87" i="14"/>
  <c r="C87" i="14"/>
  <c r="B87" i="14"/>
  <c r="AB86" i="14"/>
  <c r="E86" i="14"/>
  <c r="AB85" i="14"/>
  <c r="E85" i="14"/>
  <c r="AB84" i="14"/>
  <c r="I84" i="14"/>
  <c r="F84" i="14"/>
  <c r="H84" i="14" s="1"/>
  <c r="E84" i="14"/>
  <c r="AB83" i="14"/>
  <c r="E83" i="14"/>
  <c r="AB82" i="14"/>
  <c r="R82" i="14"/>
  <c r="T82" i="14" s="1"/>
  <c r="O82" i="14"/>
  <c r="Q82" i="14" s="1"/>
  <c r="L82" i="14"/>
  <c r="N82" i="14" s="1"/>
  <c r="I82" i="14"/>
  <c r="K82" i="14" s="1"/>
  <c r="F82" i="14"/>
  <c r="E82" i="14"/>
  <c r="AB81" i="14"/>
  <c r="E81" i="14"/>
  <c r="AB80" i="14"/>
  <c r="E80" i="14"/>
  <c r="AB79" i="14"/>
  <c r="E79" i="14"/>
  <c r="M78" i="14"/>
  <c r="AB78" i="14" s="1"/>
  <c r="E78" i="14"/>
  <c r="P77" i="14"/>
  <c r="M77" i="14"/>
  <c r="J77" i="14"/>
  <c r="E77" i="14"/>
  <c r="J76" i="14"/>
  <c r="AB76" i="14" s="1"/>
  <c r="E76" i="14"/>
  <c r="AB75" i="14"/>
  <c r="E75" i="14"/>
  <c r="AB74" i="14"/>
  <c r="E74" i="14"/>
  <c r="J73" i="14"/>
  <c r="AB73" i="14" s="1"/>
  <c r="E73" i="14"/>
  <c r="M72" i="14"/>
  <c r="J72" i="14"/>
  <c r="E72" i="14"/>
  <c r="AB71" i="14"/>
  <c r="E71" i="14"/>
  <c r="AB70" i="14"/>
  <c r="E70" i="14"/>
  <c r="AB69" i="14"/>
  <c r="E69" i="14"/>
  <c r="M68" i="14"/>
  <c r="J68" i="14"/>
  <c r="E68" i="14"/>
  <c r="P67" i="14"/>
  <c r="M67" i="14"/>
  <c r="J67" i="14"/>
  <c r="E67" i="14"/>
  <c r="AB66" i="14"/>
  <c r="E66" i="14"/>
  <c r="AB65" i="14"/>
  <c r="E65" i="14"/>
  <c r="AB64" i="14"/>
  <c r="E64" i="14"/>
  <c r="AB63" i="14"/>
  <c r="R63" i="14"/>
  <c r="T63" i="14" s="1"/>
  <c r="O63" i="14"/>
  <c r="Q63" i="14" s="1"/>
  <c r="L63" i="14"/>
  <c r="N63" i="14" s="1"/>
  <c r="I63" i="14"/>
  <c r="K63" i="14" s="1"/>
  <c r="F63" i="14"/>
  <c r="H63" i="14" s="1"/>
  <c r="E63" i="14"/>
  <c r="AB62" i="14"/>
  <c r="R62" i="14"/>
  <c r="T62" i="14" s="1"/>
  <c r="O62" i="14"/>
  <c r="Q62" i="14" s="1"/>
  <c r="L62" i="14"/>
  <c r="N62" i="14" s="1"/>
  <c r="I62" i="14"/>
  <c r="K62" i="14" s="1"/>
  <c r="F62" i="14"/>
  <c r="H62" i="14" s="1"/>
  <c r="E62" i="14"/>
  <c r="M61" i="14"/>
  <c r="J61" i="14"/>
  <c r="E61" i="14"/>
  <c r="AB60" i="14"/>
  <c r="R60" i="14"/>
  <c r="T60" i="14" s="1"/>
  <c r="O60" i="14"/>
  <c r="Q60" i="14" s="1"/>
  <c r="L60" i="14"/>
  <c r="N60" i="14" s="1"/>
  <c r="I60" i="14"/>
  <c r="K60" i="14" s="1"/>
  <c r="F60" i="14"/>
  <c r="E60" i="14"/>
  <c r="AB59" i="14"/>
  <c r="R59" i="14"/>
  <c r="T59" i="14" s="1"/>
  <c r="O59" i="14"/>
  <c r="Q59" i="14" s="1"/>
  <c r="L59" i="14"/>
  <c r="N59" i="14" s="1"/>
  <c r="I59" i="14"/>
  <c r="K59" i="14" s="1"/>
  <c r="F59" i="14"/>
  <c r="H59" i="14" s="1"/>
  <c r="E59" i="14"/>
  <c r="AB58" i="14"/>
  <c r="E58" i="14"/>
  <c r="J57" i="14"/>
  <c r="AB57" i="14" s="1"/>
  <c r="E57" i="14"/>
  <c r="AB56" i="14"/>
  <c r="E56" i="14"/>
  <c r="M55" i="14"/>
  <c r="AB55" i="14" s="1"/>
  <c r="E55" i="14"/>
  <c r="AB54" i="14"/>
  <c r="E54" i="14"/>
  <c r="AB53" i="14"/>
  <c r="E53" i="14"/>
  <c r="P52" i="14"/>
  <c r="AB52" i="14" s="1"/>
  <c r="E52" i="14"/>
  <c r="AB51" i="14"/>
  <c r="R51" i="14"/>
  <c r="T51" i="14" s="1"/>
  <c r="O51" i="14"/>
  <c r="Q51" i="14" s="1"/>
  <c r="L51" i="14"/>
  <c r="N51" i="14" s="1"/>
  <c r="I51" i="14"/>
  <c r="K51" i="14" s="1"/>
  <c r="F51" i="14"/>
  <c r="H51" i="14" s="1"/>
  <c r="E51" i="14"/>
  <c r="AF50" i="14"/>
  <c r="AE50" i="14"/>
  <c r="AB50" i="14"/>
  <c r="E50" i="14"/>
  <c r="AB49" i="14"/>
  <c r="E49" i="14"/>
  <c r="M48" i="14"/>
  <c r="J48" i="14"/>
  <c r="E48" i="14"/>
  <c r="P47" i="14"/>
  <c r="E47" i="14"/>
  <c r="M46" i="14"/>
  <c r="AB46" i="14" s="1"/>
  <c r="E46" i="14"/>
  <c r="AB45" i="14"/>
  <c r="E45" i="14"/>
  <c r="M44" i="14"/>
  <c r="AB44" i="14" s="1"/>
  <c r="E44" i="14"/>
  <c r="M43" i="14"/>
  <c r="J43" i="14"/>
  <c r="E43" i="14"/>
  <c r="AB42" i="14"/>
  <c r="E42" i="14"/>
  <c r="M41" i="14"/>
  <c r="J41" i="14"/>
  <c r="E41" i="14"/>
  <c r="AB40" i="14"/>
  <c r="E40" i="14"/>
  <c r="AB39" i="14"/>
  <c r="E39" i="14"/>
  <c r="M38" i="14"/>
  <c r="J38" i="14"/>
  <c r="E38" i="14"/>
  <c r="AB37" i="14"/>
  <c r="E37" i="14"/>
  <c r="M36" i="14"/>
  <c r="J36" i="14"/>
  <c r="J35" i="14" s="1"/>
  <c r="G36" i="14"/>
  <c r="E36" i="14"/>
  <c r="M35" i="14"/>
  <c r="G35" i="14"/>
  <c r="G87" i="14" s="1"/>
  <c r="E35" i="14"/>
  <c r="AF34" i="14"/>
  <c r="Z34" i="14"/>
  <c r="Y34" i="14"/>
  <c r="X34" i="14"/>
  <c r="W34" i="14"/>
  <c r="V34" i="14"/>
  <c r="U34" i="14"/>
  <c r="D34" i="14"/>
  <c r="AB33" i="14"/>
  <c r="T33" i="14"/>
  <c r="E33" i="14"/>
  <c r="B33" i="14"/>
  <c r="AB32" i="14"/>
  <c r="T32" i="14"/>
  <c r="E32" i="14"/>
  <c r="B32" i="14"/>
  <c r="AB31" i="14"/>
  <c r="E31" i="14"/>
  <c r="B31" i="14"/>
  <c r="S30" i="14"/>
  <c r="P30" i="14"/>
  <c r="G30" i="14"/>
  <c r="E30" i="14"/>
  <c r="B30" i="14"/>
  <c r="S29" i="14"/>
  <c r="P29" i="14"/>
  <c r="G29" i="14"/>
  <c r="E29" i="14"/>
  <c r="B29" i="14"/>
  <c r="S28" i="14"/>
  <c r="P28" i="14"/>
  <c r="G28" i="14"/>
  <c r="E28" i="14"/>
  <c r="B28" i="14"/>
  <c r="B34" i="14" s="1"/>
  <c r="S27" i="14"/>
  <c r="S34" i="14" s="1"/>
  <c r="P27" i="14"/>
  <c r="E27" i="14"/>
  <c r="C27" i="14"/>
  <c r="C34" i="14" s="1"/>
  <c r="E26" i="14"/>
  <c r="P25" i="14"/>
  <c r="M25" i="14"/>
  <c r="J25" i="14"/>
  <c r="G25" i="14"/>
  <c r="E25" i="14"/>
  <c r="E34" i="14" s="1"/>
  <c r="X24" i="14"/>
  <c r="W24" i="14"/>
  <c r="Z23" i="14"/>
  <c r="Y23" i="14"/>
  <c r="Y24" i="14" s="1"/>
  <c r="X23" i="14"/>
  <c r="W23" i="14"/>
  <c r="V23" i="14"/>
  <c r="V24" i="14" s="1"/>
  <c r="U23" i="14"/>
  <c r="S23" i="14"/>
  <c r="E23" i="14"/>
  <c r="D23" i="14"/>
  <c r="D24" i="14" s="1"/>
  <c r="C23" i="14"/>
  <c r="B23" i="14"/>
  <c r="E22" i="14"/>
  <c r="P21" i="14"/>
  <c r="P23" i="14" s="1"/>
  <c r="M21" i="14"/>
  <c r="M23" i="14" s="1"/>
  <c r="J21" i="14"/>
  <c r="G21" i="14"/>
  <c r="E21" i="14"/>
  <c r="Z20" i="14"/>
  <c r="Y20" i="14"/>
  <c r="X20" i="14"/>
  <c r="W20" i="14"/>
  <c r="V20" i="14"/>
  <c r="U20" i="14"/>
  <c r="U24" i="14" s="1"/>
  <c r="D20" i="14"/>
  <c r="C20" i="14"/>
  <c r="S19" i="14"/>
  <c r="P19" i="14"/>
  <c r="G19" i="14"/>
  <c r="E19" i="14"/>
  <c r="B19" i="14"/>
  <c r="S18" i="14"/>
  <c r="P18" i="14"/>
  <c r="M18" i="14"/>
  <c r="E18" i="14"/>
  <c r="B18" i="14"/>
  <c r="AB17" i="14"/>
  <c r="E17" i="14"/>
  <c r="B17" i="14"/>
  <c r="B20" i="14" s="1"/>
  <c r="S16" i="14"/>
  <c r="P16" i="14"/>
  <c r="G16" i="14"/>
  <c r="E16" i="14"/>
  <c r="B16" i="14"/>
  <c r="S15" i="14"/>
  <c r="S20" i="14" s="1"/>
  <c r="P15" i="14"/>
  <c r="E15" i="14"/>
  <c r="B15" i="14"/>
  <c r="M14" i="14"/>
  <c r="AB14" i="14" s="1"/>
  <c r="E14" i="14"/>
  <c r="P13" i="14"/>
  <c r="M13" i="14"/>
  <c r="J13" i="14"/>
  <c r="G13" i="14"/>
  <c r="G20" i="14" s="1"/>
  <c r="E13" i="14"/>
  <c r="E20" i="14" s="1"/>
  <c r="Z12" i="14"/>
  <c r="Y12" i="14"/>
  <c r="X12" i="14"/>
  <c r="W12" i="14"/>
  <c r="V12" i="14"/>
  <c r="U12" i="14"/>
  <c r="S12" i="14"/>
  <c r="G12" i="14"/>
  <c r="F12" i="14"/>
  <c r="D12" i="14"/>
  <c r="C12" i="14"/>
  <c r="B12" i="14"/>
  <c r="AB11" i="14"/>
  <c r="H11" i="14"/>
  <c r="E11" i="14"/>
  <c r="R10" i="14"/>
  <c r="T10" i="14" s="1"/>
  <c r="O10" i="14"/>
  <c r="Q10" i="14" s="1"/>
  <c r="L10" i="14"/>
  <c r="N10" i="14" s="1"/>
  <c r="J10" i="14"/>
  <c r="I10" i="14"/>
  <c r="H10" i="14"/>
  <c r="E10" i="14"/>
  <c r="P9" i="14"/>
  <c r="M9" i="14"/>
  <c r="J9" i="14"/>
  <c r="H9" i="14"/>
  <c r="E9" i="14"/>
  <c r="P8" i="14"/>
  <c r="AB8" i="14" s="1"/>
  <c r="H8" i="14"/>
  <c r="E8" i="14"/>
  <c r="P7" i="14"/>
  <c r="M7" i="14"/>
  <c r="H7" i="14"/>
  <c r="E7" i="14"/>
  <c r="P6" i="14"/>
  <c r="M6" i="14"/>
  <c r="H6" i="14"/>
  <c r="E6" i="14"/>
  <c r="E12" i="14" s="1"/>
  <c r="V91" i="10" l="1"/>
  <c r="AA10" i="14"/>
  <c r="H12" i="14"/>
  <c r="M12" i="14"/>
  <c r="P34" i="14"/>
  <c r="AB6" i="14"/>
  <c r="AB9" i="14"/>
  <c r="AB36" i="14"/>
  <c r="AA82" i="14"/>
  <c r="AC82" i="14" s="1"/>
  <c r="AD82" i="14" s="1"/>
  <c r="K84" i="14"/>
  <c r="K10" i="14"/>
  <c r="AB61" i="14"/>
  <c r="AB38" i="14"/>
  <c r="AB43" i="14"/>
  <c r="AB68" i="14"/>
  <c r="AB77" i="14"/>
  <c r="AB41" i="14"/>
  <c r="AB67" i="14"/>
  <c r="AB25" i="14"/>
  <c r="J87" i="14"/>
  <c r="AB13" i="14"/>
  <c r="AB10" i="14"/>
  <c r="G34" i="14"/>
  <c r="AB72" i="14"/>
  <c r="AB48" i="14"/>
  <c r="M87" i="14"/>
  <c r="U88" i="14"/>
  <c r="X89" i="14"/>
  <c r="J12" i="14"/>
  <c r="E24" i="14"/>
  <c r="U89" i="14"/>
  <c r="D88" i="14"/>
  <c r="AB7" i="14"/>
  <c r="Z24" i="14"/>
  <c r="H60" i="14"/>
  <c r="AA60" i="14"/>
  <c r="AC60" i="14" s="1"/>
  <c r="AD60" i="14" s="1"/>
  <c r="V88" i="14"/>
  <c r="V89" i="14" s="1"/>
  <c r="P20" i="14"/>
  <c r="P24" i="14" s="1"/>
  <c r="G23" i="14"/>
  <c r="G24" i="14" s="1"/>
  <c r="AB21" i="14"/>
  <c r="W88" i="14"/>
  <c r="AA51" i="14"/>
  <c r="AC51" i="14" s="1"/>
  <c r="AD51" i="14" s="1"/>
  <c r="AA59" i="14"/>
  <c r="AC59" i="14" s="1"/>
  <c r="AD59" i="14" s="1"/>
  <c r="Y88" i="14"/>
  <c r="Y89" i="14" s="1"/>
  <c r="P12" i="14"/>
  <c r="E87" i="14"/>
  <c r="E88" i="14" s="1"/>
  <c r="E89" i="14" s="1"/>
  <c r="P87" i="14"/>
  <c r="Z88" i="14"/>
  <c r="Z89" i="14" s="1"/>
  <c r="S24" i="14"/>
  <c r="S88" i="14" s="1"/>
  <c r="S89" i="14" s="1"/>
  <c r="AA62" i="14"/>
  <c r="AC62" i="14" s="1"/>
  <c r="AD62" i="14" s="1"/>
  <c r="D89" i="14"/>
  <c r="B24" i="14"/>
  <c r="B88" i="14" s="1"/>
  <c r="B89" i="14" s="1"/>
  <c r="W89" i="14"/>
  <c r="C24" i="14"/>
  <c r="C88" i="14" s="1"/>
  <c r="AA63" i="14"/>
  <c r="AC63" i="14" s="1"/>
  <c r="AD63" i="14" s="1"/>
  <c r="AB47" i="14"/>
  <c r="H82" i="14"/>
  <c r="AB35" i="14"/>
  <c r="T8" i="10"/>
  <c r="S31" i="10"/>
  <c r="S22" i="10"/>
  <c r="AO56" i="10"/>
  <c r="AZ56" i="10" s="1"/>
  <c r="AC10" i="14" l="1"/>
  <c r="AD10" i="14" s="1"/>
  <c r="AP56" i="10"/>
  <c r="AB12" i="14"/>
  <c r="G88" i="14"/>
  <c r="G89" i="14" s="1"/>
  <c r="AB87" i="14"/>
  <c r="C89" i="14"/>
  <c r="P88" i="14"/>
  <c r="P89" i="14" l="1"/>
  <c r="AO59" i="10" l="1"/>
  <c r="AZ59" i="10" s="1"/>
  <c r="AP59" i="10" l="1"/>
  <c r="AN25" i="10"/>
  <c r="M26" i="14"/>
  <c r="M27" i="14"/>
  <c r="M15" i="14"/>
  <c r="M19" i="14"/>
  <c r="M16" i="14"/>
  <c r="M29" i="14" l="1"/>
  <c r="M28" i="14"/>
  <c r="AB26" i="14"/>
  <c r="M20" i="14"/>
  <c r="M24" i="14" s="1"/>
  <c r="M30" i="14"/>
  <c r="N64" i="10"/>
  <c r="M22" i="10"/>
  <c r="M34" i="14" l="1"/>
  <c r="M88" i="14" s="1"/>
  <c r="M89" i="14" s="1"/>
  <c r="AO49" i="10"/>
  <c r="AZ49" i="10" s="1"/>
  <c r="AO61" i="10"/>
  <c r="AZ61" i="10" s="1"/>
  <c r="AO52" i="10"/>
  <c r="AZ52" i="10" s="1"/>
  <c r="AP52" i="10" l="1"/>
  <c r="AP49" i="10"/>
  <c r="AP83" i="10"/>
  <c r="AP61" i="10"/>
  <c r="AN88" i="10"/>
  <c r="J18" i="14"/>
  <c r="AB18" i="14" s="1"/>
  <c r="AN21" i="10"/>
  <c r="J22" i="14"/>
  <c r="AP82" i="10" l="1"/>
  <c r="AN26" i="10"/>
  <c r="J27" i="14"/>
  <c r="J28" i="14"/>
  <c r="AB28" i="14" s="1"/>
  <c r="J29" i="14"/>
  <c r="AB29" i="14" s="1"/>
  <c r="J30" i="14"/>
  <c r="AB30" i="14" s="1"/>
  <c r="J19" i="14"/>
  <c r="AB19" i="14" s="1"/>
  <c r="J23" i="14"/>
  <c r="AB22" i="14"/>
  <c r="AB23" i="14" s="1"/>
  <c r="J16" i="14"/>
  <c r="AB16" i="14" s="1"/>
  <c r="AO14" i="10"/>
  <c r="AZ14" i="10" s="1"/>
  <c r="J15" i="14"/>
  <c r="J20" i="14" l="1"/>
  <c r="J24" i="14" s="1"/>
  <c r="AB15" i="14"/>
  <c r="AB20" i="14" s="1"/>
  <c r="AB24" i="14" s="1"/>
  <c r="AB27" i="14"/>
  <c r="AB34" i="14" s="1"/>
  <c r="J34" i="14"/>
  <c r="K64" i="10"/>
  <c r="AO64" i="10" l="1"/>
  <c r="AZ64" i="10" s="1"/>
  <c r="J88" i="14"/>
  <c r="J89" i="14" s="1"/>
  <c r="AB91" i="14" s="1"/>
  <c r="AB88" i="14"/>
  <c r="AB89" i="14" s="1"/>
  <c r="AN27" i="10"/>
  <c r="AN28" i="10"/>
  <c r="AN29" i="10"/>
  <c r="AO15" i="10"/>
  <c r="AZ15" i="10" s="1"/>
  <c r="AP64" i="10" l="1"/>
  <c r="G31" i="10"/>
  <c r="G19" i="10"/>
  <c r="E87" i="10" l="1"/>
  <c r="E86" i="10"/>
  <c r="E85" i="10"/>
  <c r="E84" i="10"/>
  <c r="E83" i="10"/>
  <c r="E82" i="10"/>
  <c r="E81" i="10"/>
  <c r="H64" i="10"/>
  <c r="D31" i="10"/>
  <c r="E29" i="10"/>
  <c r="E28" i="10"/>
  <c r="E27" i="10"/>
  <c r="D22" i="10"/>
  <c r="G22" i="10"/>
  <c r="E41" i="9" s="1"/>
  <c r="E21" i="10"/>
  <c r="D19" i="10"/>
  <c r="E18" i="10"/>
  <c r="E17" i="10"/>
  <c r="E16" i="10"/>
  <c r="E15" i="10"/>
  <c r="E14" i="10"/>
  <c r="H6" i="10"/>
  <c r="AL82" i="10"/>
  <c r="AL51" i="10"/>
  <c r="O128" i="9"/>
  <c r="O127" i="9"/>
  <c r="AL87" i="10"/>
  <c r="AC87" i="10"/>
  <c r="Z87" i="10"/>
  <c r="W87" i="10"/>
  <c r="AL86" i="10"/>
  <c r="M138" i="9"/>
  <c r="L138" i="9"/>
  <c r="W86" i="10"/>
  <c r="AL85" i="10"/>
  <c r="AC85" i="10"/>
  <c r="Z85" i="10"/>
  <c r="W85" i="10"/>
  <c r="AL84" i="10"/>
  <c r="AC84" i="10"/>
  <c r="Z84" i="10"/>
  <c r="W84" i="10"/>
  <c r="N156" i="9"/>
  <c r="L156" i="9"/>
  <c r="K156" i="9"/>
  <c r="F86" i="14"/>
  <c r="F83" i="14"/>
  <c r="F74" i="14"/>
  <c r="F70" i="14"/>
  <c r="AC82" i="10"/>
  <c r="Z82" i="10"/>
  <c r="W82" i="10"/>
  <c r="AL81" i="10"/>
  <c r="AC81" i="10"/>
  <c r="Z81" i="10"/>
  <c r="W81" i="10"/>
  <c r="AL65" i="10"/>
  <c r="AL62" i="10"/>
  <c r="AC62" i="10"/>
  <c r="W62" i="10"/>
  <c r="AL61" i="10"/>
  <c r="AC61" i="10"/>
  <c r="W61" i="10"/>
  <c r="AL59" i="10"/>
  <c r="AC59" i="10"/>
  <c r="W59" i="10"/>
  <c r="AL58" i="10"/>
  <c r="AC58" i="10"/>
  <c r="AL57" i="10"/>
  <c r="AC57" i="10"/>
  <c r="AL56" i="10"/>
  <c r="AI56" i="10"/>
  <c r="AC56" i="10"/>
  <c r="AL54" i="10"/>
  <c r="AI54" i="10"/>
  <c r="AC54" i="10"/>
  <c r="AL52" i="10"/>
  <c r="AI52" i="10"/>
  <c r="AC52" i="10"/>
  <c r="N111" i="9"/>
  <c r="M111" i="9"/>
  <c r="L111" i="9"/>
  <c r="J111" i="9"/>
  <c r="I111" i="9"/>
  <c r="AI51" i="10"/>
  <c r="L110" i="9"/>
  <c r="AC51" i="10"/>
  <c r="AL50" i="10"/>
  <c r="AI50" i="10"/>
  <c r="AC50" i="10"/>
  <c r="AL49" i="10"/>
  <c r="AC49" i="10"/>
  <c r="N103" i="9"/>
  <c r="M103" i="9"/>
  <c r="AC47" i="10"/>
  <c r="I103" i="9"/>
  <c r="F68" i="14"/>
  <c r="AL29" i="10"/>
  <c r="AI29" i="10"/>
  <c r="AL28" i="10"/>
  <c r="AL25" i="10"/>
  <c r="AJ30" i="10"/>
  <c r="AL30" i="10" s="1"/>
  <c r="AI30" i="10"/>
  <c r="AF30" i="10"/>
  <c r="AA30" i="10"/>
  <c r="AC30" i="10" s="1"/>
  <c r="X30" i="10"/>
  <c r="Z30" i="10" s="1"/>
  <c r="W30" i="10"/>
  <c r="AF29" i="10"/>
  <c r="AC29" i="10"/>
  <c r="Z29" i="10"/>
  <c r="W29" i="10"/>
  <c r="AF28" i="10"/>
  <c r="AC28" i="10"/>
  <c r="Z28" i="10"/>
  <c r="W28" i="10"/>
  <c r="W27" i="10"/>
  <c r="AL26" i="10"/>
  <c r="AI26" i="10"/>
  <c r="AF26" i="10"/>
  <c r="AC26" i="10"/>
  <c r="Z26" i="10"/>
  <c r="W26" i="10"/>
  <c r="AI25" i="10"/>
  <c r="AF25" i="10"/>
  <c r="AC25" i="10"/>
  <c r="Z25" i="10"/>
  <c r="W25" i="10"/>
  <c r="C27" i="8"/>
  <c r="AL21" i="10"/>
  <c r="AI21" i="10"/>
  <c r="AC21" i="10"/>
  <c r="W21" i="10"/>
  <c r="Z14" i="10"/>
  <c r="W14" i="10"/>
  <c r="AI18" i="10"/>
  <c r="AF18" i="10"/>
  <c r="AC18" i="10"/>
  <c r="Z18" i="10"/>
  <c r="W18" i="10"/>
  <c r="AI17" i="10"/>
  <c r="AF17" i="10"/>
  <c r="AC17" i="10"/>
  <c r="Z17" i="10"/>
  <c r="W17" i="10"/>
  <c r="AI16" i="10"/>
  <c r="AF16" i="10"/>
  <c r="AC16" i="10"/>
  <c r="Z16" i="10"/>
  <c r="W16" i="10"/>
  <c r="AI15" i="10"/>
  <c r="AF15" i="10"/>
  <c r="AC15" i="10"/>
  <c r="Z15" i="10"/>
  <c r="W15" i="10"/>
  <c r="AI14" i="10"/>
  <c r="AF14" i="10"/>
  <c r="AA12" i="10"/>
  <c r="AI6" i="10"/>
  <c r="W6" i="10"/>
  <c r="V170" i="9"/>
  <c r="B29" i="8"/>
  <c r="B16" i="8"/>
  <c r="B19" i="8"/>
  <c r="B15" i="8"/>
  <c r="B87" i="8"/>
  <c r="B30" i="8"/>
  <c r="B28" i="8"/>
  <c r="B31" i="8"/>
  <c r="B17" i="8"/>
  <c r="B18" i="8"/>
  <c r="AO69" i="10" l="1"/>
  <c r="AZ69" i="10" s="1"/>
  <c r="AF69" i="10"/>
  <c r="AO51" i="10"/>
  <c r="AZ51" i="10" s="1"/>
  <c r="AF51" i="10"/>
  <c r="AL47" i="10"/>
  <c r="AI69" i="10"/>
  <c r="AI65" i="10"/>
  <c r="AI47" i="10"/>
  <c r="AM33" i="10"/>
  <c r="O103" i="9"/>
  <c r="AC86" i="10"/>
  <c r="O138" i="9"/>
  <c r="N33" i="10"/>
  <c r="AI12" i="10"/>
  <c r="K33" i="10"/>
  <c r="K69" i="10"/>
  <c r="G23" i="10"/>
  <c r="W12" i="10"/>
  <c r="H12" i="10"/>
  <c r="E88" i="10"/>
  <c r="AA88" i="10"/>
  <c r="O121" i="9"/>
  <c r="F54" i="14"/>
  <c r="H54" i="14" s="1"/>
  <c r="O122" i="9"/>
  <c r="AF27" i="10"/>
  <c r="AC27" i="10"/>
  <c r="AI27" i="10"/>
  <c r="Z27" i="10"/>
  <c r="AJ31" i="10"/>
  <c r="E26" i="10"/>
  <c r="AF6" i="10"/>
  <c r="AF12" i="10" s="1"/>
  <c r="Z24" i="10"/>
  <c r="Z21" i="10"/>
  <c r="AF21" i="10"/>
  <c r="AC24" i="10"/>
  <c r="AC6" i="10"/>
  <c r="Z12" i="10"/>
  <c r="F56" i="14"/>
  <c r="H68" i="14"/>
  <c r="F40" i="14"/>
  <c r="L7" i="14"/>
  <c r="N7" i="14" s="1"/>
  <c r="R8" i="14"/>
  <c r="T8" i="14" s="1"/>
  <c r="N26" i="10"/>
  <c r="L27" i="14"/>
  <c r="N27" i="14" s="1"/>
  <c r="N29" i="10"/>
  <c r="L30" i="14"/>
  <c r="N30" i="14" s="1"/>
  <c r="F41" i="14"/>
  <c r="K51" i="10"/>
  <c r="I43" i="14"/>
  <c r="K43" i="14" s="1"/>
  <c r="R45" i="14"/>
  <c r="T45" i="14" s="1"/>
  <c r="N58" i="10"/>
  <c r="L54" i="14"/>
  <c r="N54" i="14" s="1"/>
  <c r="R55" i="14"/>
  <c r="T55" i="14" s="1"/>
  <c r="F66" i="14"/>
  <c r="K62" i="10"/>
  <c r="I58" i="14"/>
  <c r="K58" i="14" s="1"/>
  <c r="O61" i="14"/>
  <c r="Q61" i="14" s="1"/>
  <c r="H70" i="14"/>
  <c r="H83" i="14"/>
  <c r="I79" i="14"/>
  <c r="K79" i="14" s="1"/>
  <c r="O80" i="14"/>
  <c r="Q80" i="14" s="1"/>
  <c r="K84" i="10"/>
  <c r="I69" i="14"/>
  <c r="Q85" i="10"/>
  <c r="O70" i="14"/>
  <c r="Q70" i="14" s="1"/>
  <c r="I75" i="14"/>
  <c r="K75" i="14" s="1"/>
  <c r="R76" i="14"/>
  <c r="T76" i="14" s="1"/>
  <c r="F19" i="14"/>
  <c r="N18" i="10"/>
  <c r="L19" i="14"/>
  <c r="N19" i="14" s="1"/>
  <c r="F27" i="14"/>
  <c r="O27" i="14"/>
  <c r="Q27" i="14" s="1"/>
  <c r="Q29" i="10"/>
  <c r="O30" i="14"/>
  <c r="Q30" i="14" s="1"/>
  <c r="F42" i="14"/>
  <c r="N51" i="10"/>
  <c r="L43" i="14"/>
  <c r="N43" i="14" s="1"/>
  <c r="F49" i="14"/>
  <c r="K57" i="10"/>
  <c r="I53" i="14"/>
  <c r="K53" i="14" s="1"/>
  <c r="O54" i="14"/>
  <c r="Q54" i="14" s="1"/>
  <c r="F67" i="14"/>
  <c r="N62" i="10"/>
  <c r="L58" i="14"/>
  <c r="N58" i="14" s="1"/>
  <c r="R61" i="14"/>
  <c r="T61" i="14" s="1"/>
  <c r="F71" i="14"/>
  <c r="F85" i="14"/>
  <c r="L79" i="14"/>
  <c r="N79" i="14" s="1"/>
  <c r="R80" i="14"/>
  <c r="T80" i="14" s="1"/>
  <c r="N84" i="10"/>
  <c r="L69" i="14"/>
  <c r="N69" i="14" s="1"/>
  <c r="T85" i="10"/>
  <c r="R70" i="14"/>
  <c r="T70" i="14" s="1"/>
  <c r="L75" i="14"/>
  <c r="N75" i="14" s="1"/>
  <c r="R7" i="14"/>
  <c r="T7" i="14" s="1"/>
  <c r="O19" i="14"/>
  <c r="Q19" i="14" s="1"/>
  <c r="F31" i="14"/>
  <c r="K25" i="10"/>
  <c r="I26" i="14"/>
  <c r="K26" i="14" s="1"/>
  <c r="T26" i="10"/>
  <c r="R27" i="14"/>
  <c r="T27" i="14" s="1"/>
  <c r="T29" i="10"/>
  <c r="R30" i="14"/>
  <c r="T30" i="14" s="1"/>
  <c r="K28" i="10"/>
  <c r="I29" i="14"/>
  <c r="K29" i="14" s="1"/>
  <c r="I38" i="14"/>
  <c r="K38" i="14" s="1"/>
  <c r="F43" i="14"/>
  <c r="K50" i="10"/>
  <c r="I42" i="14"/>
  <c r="K42" i="14" s="1"/>
  <c r="O43" i="14"/>
  <c r="Q43" i="14" s="1"/>
  <c r="F50" i="14"/>
  <c r="N57" i="10"/>
  <c r="L53" i="14"/>
  <c r="N53" i="14" s="1"/>
  <c r="R54" i="14"/>
  <c r="T54" i="14" s="1"/>
  <c r="K61" i="10"/>
  <c r="I57" i="14"/>
  <c r="K57" i="14" s="1"/>
  <c r="O58" i="14"/>
  <c r="Q58" i="14" s="1"/>
  <c r="K82" i="10"/>
  <c r="I67" i="14"/>
  <c r="K67" i="14" s="1"/>
  <c r="F72" i="14"/>
  <c r="H86" i="14"/>
  <c r="O79" i="14"/>
  <c r="Q79" i="14" s="1"/>
  <c r="I86" i="14"/>
  <c r="K86" i="14" s="1"/>
  <c r="Q84" i="10"/>
  <c r="O69" i="14"/>
  <c r="Q69" i="14" s="1"/>
  <c r="I74" i="14"/>
  <c r="K74" i="14" s="1"/>
  <c r="O75" i="14"/>
  <c r="Q75" i="14" s="1"/>
  <c r="F39" i="14"/>
  <c r="F46" i="14"/>
  <c r="O6" i="14"/>
  <c r="K17" i="10"/>
  <c r="I18" i="14"/>
  <c r="K18" i="14" s="1"/>
  <c r="K15" i="10"/>
  <c r="I16" i="14"/>
  <c r="K16" i="14" s="1"/>
  <c r="F32" i="14"/>
  <c r="N25" i="10"/>
  <c r="L26" i="14"/>
  <c r="N26" i="14" s="1"/>
  <c r="I33" i="14"/>
  <c r="K33" i="14" s="1"/>
  <c r="F29" i="14"/>
  <c r="L38" i="14"/>
  <c r="N38" i="14" s="1"/>
  <c r="F44" i="14"/>
  <c r="N50" i="10"/>
  <c r="L42" i="14"/>
  <c r="N42" i="14" s="1"/>
  <c r="R43" i="14"/>
  <c r="T43" i="14" s="1"/>
  <c r="K52" i="10"/>
  <c r="I48" i="14"/>
  <c r="K48" i="14" s="1"/>
  <c r="F52" i="14"/>
  <c r="K56" i="10"/>
  <c r="I52" i="14"/>
  <c r="K52" i="14" s="1"/>
  <c r="O53" i="14"/>
  <c r="Q53" i="14" s="1"/>
  <c r="N61" i="10"/>
  <c r="L57" i="14"/>
  <c r="N57" i="14" s="1"/>
  <c r="R58" i="14"/>
  <c r="T58" i="14" s="1"/>
  <c r="N82" i="10"/>
  <c r="L67" i="14"/>
  <c r="N67" i="14" s="1"/>
  <c r="F73" i="14"/>
  <c r="I78" i="14"/>
  <c r="K78" i="14" s="1"/>
  <c r="R79" i="14"/>
  <c r="T79" i="14" s="1"/>
  <c r="L86" i="14"/>
  <c r="N86" i="14" s="1"/>
  <c r="R69" i="14"/>
  <c r="T69" i="14" s="1"/>
  <c r="L74" i="14"/>
  <c r="N74" i="14" s="1"/>
  <c r="R75" i="14"/>
  <c r="T75" i="14" s="1"/>
  <c r="I39" i="14"/>
  <c r="K39" i="14" s="1"/>
  <c r="N6" i="10"/>
  <c r="L6" i="14"/>
  <c r="T6" i="10"/>
  <c r="R6" i="14"/>
  <c r="L18" i="14"/>
  <c r="N18" i="14" s="1"/>
  <c r="K18" i="10"/>
  <c r="I19" i="14"/>
  <c r="K19" i="14" s="1"/>
  <c r="F33" i="14"/>
  <c r="O26" i="14"/>
  <c r="Q26" i="14" s="1"/>
  <c r="N28" i="10"/>
  <c r="L29" i="14"/>
  <c r="N29" i="14" s="1"/>
  <c r="L33" i="14"/>
  <c r="N33" i="14" s="1"/>
  <c r="K47" i="10"/>
  <c r="I37" i="14"/>
  <c r="K37" i="14" s="1"/>
  <c r="O38" i="14"/>
  <c r="Q38" i="14" s="1"/>
  <c r="K49" i="10"/>
  <c r="I41" i="14"/>
  <c r="K41" i="14" s="1"/>
  <c r="O42" i="14"/>
  <c r="Q42" i="14" s="1"/>
  <c r="N52" i="10"/>
  <c r="F53" i="14"/>
  <c r="N56" i="10"/>
  <c r="L52" i="14"/>
  <c r="N52" i="14" s="1"/>
  <c r="R53" i="14"/>
  <c r="T53" i="14" s="1"/>
  <c r="O57" i="14"/>
  <c r="Q57" i="14" s="1"/>
  <c r="K81" i="10"/>
  <c r="I66" i="14"/>
  <c r="K66" i="14" s="1"/>
  <c r="Q82" i="10"/>
  <c r="O67" i="14"/>
  <c r="Q67" i="14" s="1"/>
  <c r="H74" i="14"/>
  <c r="L78" i="14"/>
  <c r="N78" i="14" s="1"/>
  <c r="I85" i="14"/>
  <c r="K85" i="14" s="1"/>
  <c r="O86" i="14"/>
  <c r="Q86" i="14" s="1"/>
  <c r="I73" i="14"/>
  <c r="K73" i="14" s="1"/>
  <c r="O74" i="14"/>
  <c r="Q74" i="14" s="1"/>
  <c r="L39" i="14"/>
  <c r="N39" i="14" s="1"/>
  <c r="I11" i="14"/>
  <c r="K16" i="10"/>
  <c r="I17" i="14"/>
  <c r="K17" i="14" s="1"/>
  <c r="O18" i="14"/>
  <c r="Q18" i="14" s="1"/>
  <c r="K21" i="10"/>
  <c r="I22" i="14"/>
  <c r="K22" i="14" s="1"/>
  <c r="T25" i="10"/>
  <c r="R26" i="14"/>
  <c r="T26" i="14" s="1"/>
  <c r="Q28" i="10"/>
  <c r="O29" i="14"/>
  <c r="Q29" i="14" s="1"/>
  <c r="I32" i="14"/>
  <c r="K32" i="14" s="1"/>
  <c r="O33" i="14"/>
  <c r="Q33" i="14" s="1"/>
  <c r="F28" i="14"/>
  <c r="F37" i="14"/>
  <c r="N47" i="10"/>
  <c r="L37" i="14"/>
  <c r="N37" i="14" s="1"/>
  <c r="R38" i="14"/>
  <c r="T38" i="14" s="1"/>
  <c r="N49" i="10"/>
  <c r="L41" i="14"/>
  <c r="N41" i="14" s="1"/>
  <c r="R42" i="14"/>
  <c r="T42" i="14" s="1"/>
  <c r="I47" i="14"/>
  <c r="K47" i="14" s="1"/>
  <c r="K54" i="10"/>
  <c r="I50" i="14"/>
  <c r="K50" i="14" s="1"/>
  <c r="O52" i="14"/>
  <c r="Q52" i="14" s="1"/>
  <c r="R57" i="14"/>
  <c r="T57" i="14" s="1"/>
  <c r="L66" i="14"/>
  <c r="N66" i="14" s="1"/>
  <c r="R67" i="14"/>
  <c r="T67" i="14" s="1"/>
  <c r="F75" i="14"/>
  <c r="O78" i="14"/>
  <c r="Q78" i="14" s="1"/>
  <c r="L85" i="14"/>
  <c r="N85" i="14" s="1"/>
  <c r="R86" i="14"/>
  <c r="T86" i="14" s="1"/>
  <c r="L73" i="14"/>
  <c r="N73" i="14" s="1"/>
  <c r="R74" i="14"/>
  <c r="T74" i="14" s="1"/>
  <c r="O39" i="14"/>
  <c r="Q39" i="14" s="1"/>
  <c r="L11" i="14"/>
  <c r="N11" i="14" s="1"/>
  <c r="T14" i="10"/>
  <c r="R15" i="14"/>
  <c r="T15" i="14" s="1"/>
  <c r="L17" i="14"/>
  <c r="N17" i="14" s="1"/>
  <c r="T17" i="10"/>
  <c r="R18" i="14"/>
  <c r="T18" i="14" s="1"/>
  <c r="L22" i="14"/>
  <c r="N22" i="14" s="1"/>
  <c r="T28" i="10"/>
  <c r="R29" i="14"/>
  <c r="T29" i="14" s="1"/>
  <c r="L32" i="14"/>
  <c r="N32" i="14" s="1"/>
  <c r="K27" i="10"/>
  <c r="I28" i="14"/>
  <c r="K28" i="14" s="1"/>
  <c r="F38" i="14"/>
  <c r="O37" i="14"/>
  <c r="Q37" i="14" s="1"/>
  <c r="O41" i="14"/>
  <c r="Q41" i="14" s="1"/>
  <c r="F45" i="14"/>
  <c r="L47" i="14"/>
  <c r="N47" i="14" s="1"/>
  <c r="F55" i="14"/>
  <c r="N54" i="10"/>
  <c r="L50" i="14"/>
  <c r="N50" i="14" s="1"/>
  <c r="R52" i="14"/>
  <c r="T52" i="14" s="1"/>
  <c r="I65" i="14"/>
  <c r="K65" i="14" s="1"/>
  <c r="Q81" i="10"/>
  <c r="O66" i="14"/>
  <c r="Q66" i="14" s="1"/>
  <c r="F76" i="14"/>
  <c r="R78" i="14"/>
  <c r="T78" i="14" s="1"/>
  <c r="I83" i="14"/>
  <c r="K83" i="14" s="1"/>
  <c r="O85" i="14"/>
  <c r="Q85" i="14" s="1"/>
  <c r="K87" i="10"/>
  <c r="I72" i="14"/>
  <c r="K72" i="14" s="1"/>
  <c r="O73" i="14"/>
  <c r="Q73" i="14" s="1"/>
  <c r="R39" i="14"/>
  <c r="T39" i="14" s="1"/>
  <c r="N15" i="10"/>
  <c r="L16" i="14"/>
  <c r="N16" i="14" s="1"/>
  <c r="O7" i="14"/>
  <c r="Q7" i="14" s="1"/>
  <c r="O11" i="14"/>
  <c r="Q11" i="14" s="1"/>
  <c r="O17" i="14"/>
  <c r="Q17" i="14" s="1"/>
  <c r="F22" i="14"/>
  <c r="O22" i="14"/>
  <c r="Q22" i="14" s="1"/>
  <c r="K30" i="10"/>
  <c r="I31" i="14"/>
  <c r="K31" i="14" s="1"/>
  <c r="O32" i="14"/>
  <c r="Q32" i="14" s="1"/>
  <c r="N27" i="10"/>
  <c r="L28" i="14"/>
  <c r="N28" i="14" s="1"/>
  <c r="R37" i="14"/>
  <c r="T37" i="14" s="1"/>
  <c r="R41" i="14"/>
  <c r="T41" i="14" s="1"/>
  <c r="F47" i="14"/>
  <c r="I46" i="14"/>
  <c r="K46" i="14" s="1"/>
  <c r="O47" i="14"/>
  <c r="Q47" i="14" s="1"/>
  <c r="K53" i="10"/>
  <c r="I49" i="14"/>
  <c r="K49" i="14" s="1"/>
  <c r="O50" i="14"/>
  <c r="Q50" i="14" s="1"/>
  <c r="F57" i="14"/>
  <c r="L65" i="14"/>
  <c r="N65" i="14" s="1"/>
  <c r="T81" i="10"/>
  <c r="R66" i="14"/>
  <c r="T66" i="14" s="1"/>
  <c r="F77" i="14"/>
  <c r="L83" i="14"/>
  <c r="N83" i="14" s="1"/>
  <c r="R85" i="14"/>
  <c r="T85" i="14" s="1"/>
  <c r="N87" i="10"/>
  <c r="L72" i="14"/>
  <c r="N72" i="14" s="1"/>
  <c r="R73" i="14"/>
  <c r="T73" i="14" s="1"/>
  <c r="I77" i="14"/>
  <c r="K77" i="14" s="1"/>
  <c r="O15" i="14"/>
  <c r="Q15" i="14" s="1"/>
  <c r="I9" i="14"/>
  <c r="L9" i="14"/>
  <c r="N9" i="14" s="1"/>
  <c r="R11" i="14"/>
  <c r="T11" i="14" s="1"/>
  <c r="I14" i="14"/>
  <c r="K14" i="14" s="1"/>
  <c r="T16" i="10"/>
  <c r="R17" i="14"/>
  <c r="T17" i="14" s="1"/>
  <c r="T21" i="10"/>
  <c r="R22" i="14"/>
  <c r="T22" i="14" s="1"/>
  <c r="L30" i="10"/>
  <c r="N30" i="10" s="1"/>
  <c r="L31" i="14"/>
  <c r="N31" i="14" s="1"/>
  <c r="F48" i="14"/>
  <c r="R47" i="14"/>
  <c r="T47" i="14" s="1"/>
  <c r="L49" i="14"/>
  <c r="N49" i="14" s="1"/>
  <c r="R50" i="14"/>
  <c r="T50" i="14" s="1"/>
  <c r="F58" i="14"/>
  <c r="I64" i="14"/>
  <c r="K64" i="14" s="1"/>
  <c r="O65" i="14"/>
  <c r="Q65" i="14" s="1"/>
  <c r="F78" i="14"/>
  <c r="I81" i="14"/>
  <c r="O83" i="14"/>
  <c r="Q83" i="14" s="1"/>
  <c r="K86" i="10"/>
  <c r="I71" i="14"/>
  <c r="K71" i="14" s="1"/>
  <c r="Q87" i="10"/>
  <c r="O72" i="14"/>
  <c r="Q72" i="14" s="1"/>
  <c r="L77" i="14"/>
  <c r="N77" i="14" s="1"/>
  <c r="T18" i="10"/>
  <c r="R19" i="14"/>
  <c r="T19" i="14" s="1"/>
  <c r="I8" i="14"/>
  <c r="O9" i="14"/>
  <c r="Q9" i="14" s="1"/>
  <c r="F17" i="14"/>
  <c r="L14" i="14"/>
  <c r="N14" i="14" s="1"/>
  <c r="K14" i="10"/>
  <c r="I15" i="14"/>
  <c r="K15" i="14" s="1"/>
  <c r="Q27" i="10"/>
  <c r="O28" i="14"/>
  <c r="Q28" i="14" s="1"/>
  <c r="O30" i="10"/>
  <c r="Q30" i="10" s="1"/>
  <c r="O31" i="14"/>
  <c r="Q31" i="14" s="1"/>
  <c r="K29" i="10"/>
  <c r="I30" i="14"/>
  <c r="K30" i="14" s="1"/>
  <c r="I44" i="14"/>
  <c r="K44" i="14" s="1"/>
  <c r="I45" i="14"/>
  <c r="K45" i="14" s="1"/>
  <c r="O46" i="14"/>
  <c r="Q46" i="14" s="1"/>
  <c r="O49" i="14"/>
  <c r="Q49" i="14" s="1"/>
  <c r="K59" i="10"/>
  <c r="I55" i="14"/>
  <c r="K55" i="14" s="1"/>
  <c r="F61" i="14"/>
  <c r="L64" i="14"/>
  <c r="N64" i="14" s="1"/>
  <c r="R65" i="14"/>
  <c r="T65" i="14" s="1"/>
  <c r="F79" i="14"/>
  <c r="L81" i="14"/>
  <c r="N81" i="14" s="1"/>
  <c r="R83" i="14"/>
  <c r="T83" i="14" s="1"/>
  <c r="N86" i="10"/>
  <c r="L71" i="14"/>
  <c r="N71" i="14" s="1"/>
  <c r="R72" i="14"/>
  <c r="T72" i="14" s="1"/>
  <c r="I76" i="14"/>
  <c r="K76" i="14" s="1"/>
  <c r="O77" i="14"/>
  <c r="Q77" i="14" s="1"/>
  <c r="I6" i="14"/>
  <c r="L8" i="14"/>
  <c r="N8" i="14" s="1"/>
  <c r="T7" i="10"/>
  <c r="R9" i="14"/>
  <c r="T9" i="14" s="1"/>
  <c r="F14" i="14"/>
  <c r="O14" i="14"/>
  <c r="Q14" i="14" s="1"/>
  <c r="O16" i="14"/>
  <c r="Q16" i="14" s="1"/>
  <c r="N14" i="10"/>
  <c r="L15" i="14"/>
  <c r="N15" i="14" s="1"/>
  <c r="F26" i="14"/>
  <c r="R28" i="14"/>
  <c r="T28" i="14" s="1"/>
  <c r="R30" i="10"/>
  <c r="T30" i="10" s="1"/>
  <c r="R31" i="14"/>
  <c r="T31" i="14" s="1"/>
  <c r="L44" i="14"/>
  <c r="N44" i="14" s="1"/>
  <c r="L45" i="14"/>
  <c r="N45" i="14" s="1"/>
  <c r="R46" i="14"/>
  <c r="T46" i="14" s="1"/>
  <c r="R49" i="14"/>
  <c r="T49" i="14" s="1"/>
  <c r="N59" i="10"/>
  <c r="L55" i="14"/>
  <c r="N55" i="14" s="1"/>
  <c r="F64" i="14"/>
  <c r="K65" i="10"/>
  <c r="I61" i="14"/>
  <c r="K61" i="14" s="1"/>
  <c r="O64" i="14"/>
  <c r="Q64" i="14" s="1"/>
  <c r="F80" i="14"/>
  <c r="I80" i="14"/>
  <c r="K80" i="14" s="1"/>
  <c r="O81" i="14"/>
  <c r="Q81" i="14" s="1"/>
  <c r="K85" i="10"/>
  <c r="I70" i="14"/>
  <c r="K70" i="14" s="1"/>
  <c r="O71" i="14"/>
  <c r="Q71" i="14" s="1"/>
  <c r="L76" i="14"/>
  <c r="N76" i="14" s="1"/>
  <c r="R77" i="14"/>
  <c r="T77" i="14" s="1"/>
  <c r="F15" i="14"/>
  <c r="I7" i="14"/>
  <c r="O8" i="14"/>
  <c r="Q8" i="14" s="1"/>
  <c r="R14" i="14"/>
  <c r="T14" i="14" s="1"/>
  <c r="T15" i="10"/>
  <c r="R16" i="14"/>
  <c r="T16" i="14" s="1"/>
  <c r="K26" i="10"/>
  <c r="I27" i="14"/>
  <c r="K27" i="14" s="1"/>
  <c r="F30" i="14"/>
  <c r="R44" i="14"/>
  <c r="T44" i="14" s="1"/>
  <c r="O45" i="14"/>
  <c r="Q45" i="14" s="1"/>
  <c r="K58" i="10"/>
  <c r="I54" i="14"/>
  <c r="K54" i="14" s="1"/>
  <c r="O55" i="14"/>
  <c r="Q55" i="14" s="1"/>
  <c r="F65" i="14"/>
  <c r="N65" i="10"/>
  <c r="L61" i="14"/>
  <c r="N61" i="14" s="1"/>
  <c r="R64" i="14"/>
  <c r="T64" i="14" s="1"/>
  <c r="F69" i="14"/>
  <c r="H69" i="14" s="1"/>
  <c r="F81" i="14"/>
  <c r="H81" i="14" s="1"/>
  <c r="L80" i="14"/>
  <c r="N80" i="14" s="1"/>
  <c r="R81" i="14"/>
  <c r="T81" i="14" s="1"/>
  <c r="N85" i="10"/>
  <c r="L70" i="14"/>
  <c r="N70" i="14" s="1"/>
  <c r="AM86" i="10"/>
  <c r="R71" i="14"/>
  <c r="T71" i="14" s="1"/>
  <c r="O76" i="14"/>
  <c r="Q76" i="14" s="1"/>
  <c r="F16" i="14"/>
  <c r="D23" i="10"/>
  <c r="D90" i="10" s="1"/>
  <c r="D15" i="9"/>
  <c r="O111" i="9"/>
  <c r="O160" i="9"/>
  <c r="I56" i="14"/>
  <c r="K56" i="14" s="1"/>
  <c r="O65" i="9"/>
  <c r="I40" i="14"/>
  <c r="K40" i="14" s="1"/>
  <c r="O132" i="9"/>
  <c r="O156" i="9"/>
  <c r="O99" i="9"/>
  <c r="O44" i="14"/>
  <c r="Q44" i="14" s="1"/>
  <c r="AP51" i="10" l="1"/>
  <c r="AO86" i="10"/>
  <c r="AP86" i="10" s="1"/>
  <c r="T12" i="10"/>
  <c r="AO33" i="10"/>
  <c r="AP33" i="10" s="1"/>
  <c r="Q26" i="10"/>
  <c r="AL33" i="10"/>
  <c r="AI73" i="10"/>
  <c r="AO73" i="10"/>
  <c r="AZ73" i="10" s="1"/>
  <c r="AI33" i="10"/>
  <c r="AP69" i="10"/>
  <c r="Q25" i="10"/>
  <c r="AC12" i="10"/>
  <c r="D91" i="10"/>
  <c r="F89" i="10"/>
  <c r="Q86" i="10"/>
  <c r="N81" i="10"/>
  <c r="AO65" i="10"/>
  <c r="AZ65" i="10" s="1"/>
  <c r="T86" i="10"/>
  <c r="T88" i="10" s="1"/>
  <c r="AC31" i="10"/>
  <c r="AA31" i="10"/>
  <c r="Z31" i="10"/>
  <c r="AG31" i="10"/>
  <c r="AM25" i="10"/>
  <c r="AM30" i="10"/>
  <c r="X31" i="10"/>
  <c r="H60" i="10"/>
  <c r="H59" i="10"/>
  <c r="AD31" i="10"/>
  <c r="AF24" i="10"/>
  <c r="AC14" i="10"/>
  <c r="H26" i="10"/>
  <c r="H86" i="10"/>
  <c r="H53" i="10"/>
  <c r="H49" i="10"/>
  <c r="H48" i="10"/>
  <c r="H28" i="10"/>
  <c r="H17" i="10"/>
  <c r="H50" i="10"/>
  <c r="H16" i="10"/>
  <c r="H62" i="10"/>
  <c r="H82" i="10"/>
  <c r="H18" i="10"/>
  <c r="H29" i="10"/>
  <c r="H47" i="10"/>
  <c r="H87" i="10"/>
  <c r="H54" i="10"/>
  <c r="H61" i="10"/>
  <c r="H27" i="10"/>
  <c r="H81" i="10"/>
  <c r="H15" i="10"/>
  <c r="H14" i="10"/>
  <c r="H84" i="10"/>
  <c r="H65" i="10"/>
  <c r="H21" i="10"/>
  <c r="H56" i="10"/>
  <c r="H40" i="14"/>
  <c r="K83" i="10"/>
  <c r="I68" i="14"/>
  <c r="H56" i="14"/>
  <c r="H51" i="10"/>
  <c r="K6" i="10"/>
  <c r="K12" i="10" s="1"/>
  <c r="H57" i="10"/>
  <c r="H25" i="10"/>
  <c r="H52" i="10"/>
  <c r="H65" i="14"/>
  <c r="AA65" i="14"/>
  <c r="AC65" i="14" s="1"/>
  <c r="AA30" i="14"/>
  <c r="AC30" i="14" s="1"/>
  <c r="AD30" i="14" s="1"/>
  <c r="H30" i="14"/>
  <c r="H64" i="14"/>
  <c r="AA64" i="14"/>
  <c r="AC64" i="14" s="1"/>
  <c r="AD64" i="14" s="1"/>
  <c r="H79" i="14"/>
  <c r="AA79" i="14"/>
  <c r="AC79" i="14" s="1"/>
  <c r="AD79" i="14" s="1"/>
  <c r="H47" i="14"/>
  <c r="AA47" i="14"/>
  <c r="AC47" i="14" s="1"/>
  <c r="AD47" i="14" s="1"/>
  <c r="AA75" i="14"/>
  <c r="AC75" i="14" s="1"/>
  <c r="AD75" i="14" s="1"/>
  <c r="H75" i="14"/>
  <c r="AA74" i="14"/>
  <c r="AC74" i="14" s="1"/>
  <c r="AD74" i="14" s="1"/>
  <c r="H53" i="14"/>
  <c r="AA53" i="14"/>
  <c r="AC53" i="14" s="1"/>
  <c r="AD53" i="14" s="1"/>
  <c r="H46" i="14"/>
  <c r="AA42" i="14"/>
  <c r="AC42" i="14" s="1"/>
  <c r="H42" i="14"/>
  <c r="H66" i="14"/>
  <c r="AA66" i="14"/>
  <c r="AC66" i="14" s="1"/>
  <c r="AD66" i="14" s="1"/>
  <c r="N12" i="10"/>
  <c r="AA54" i="14"/>
  <c r="AC54" i="14" s="1"/>
  <c r="AD54" i="14" s="1"/>
  <c r="K7" i="14"/>
  <c r="AA7" i="14"/>
  <c r="AC7" i="14" s="1"/>
  <c r="AD7" i="14" s="1"/>
  <c r="K8" i="14"/>
  <c r="AA8" i="14"/>
  <c r="AC8" i="14" s="1"/>
  <c r="AD8" i="14" s="1"/>
  <c r="AA81" i="14"/>
  <c r="AC81" i="14" s="1"/>
  <c r="AI98" i="14" s="1"/>
  <c r="K81" i="14"/>
  <c r="AA57" i="14"/>
  <c r="AC57" i="14" s="1"/>
  <c r="H57" i="14"/>
  <c r="H55" i="14"/>
  <c r="AA55" i="14"/>
  <c r="AC55" i="14" s="1"/>
  <c r="AD55" i="14" s="1"/>
  <c r="H38" i="14"/>
  <c r="AA38" i="14"/>
  <c r="AC38" i="14" s="1"/>
  <c r="AD38" i="14" s="1"/>
  <c r="H37" i="14"/>
  <c r="AA37" i="14"/>
  <c r="AC37" i="14" s="1"/>
  <c r="T6" i="14"/>
  <c r="T12" i="14" s="1"/>
  <c r="R12" i="14"/>
  <c r="AA39" i="14"/>
  <c r="AC39" i="14" s="1"/>
  <c r="H39" i="14"/>
  <c r="H67" i="14"/>
  <c r="AA67" i="14"/>
  <c r="AC67" i="14" s="1"/>
  <c r="AD67" i="14" s="1"/>
  <c r="H19" i="14"/>
  <c r="AA19" i="14"/>
  <c r="AC19" i="14" s="1"/>
  <c r="AD19" i="14" s="1"/>
  <c r="AA86" i="14"/>
  <c r="AC86" i="14" s="1"/>
  <c r="AD86" i="14" s="1"/>
  <c r="H16" i="14"/>
  <c r="AA16" i="14"/>
  <c r="AC16" i="14" s="1"/>
  <c r="AD16" i="14" s="1"/>
  <c r="H15" i="14"/>
  <c r="AA15" i="14"/>
  <c r="AC15" i="14" s="1"/>
  <c r="AD15" i="14" s="1"/>
  <c r="H14" i="14"/>
  <c r="AA14" i="14"/>
  <c r="AC14" i="14" s="1"/>
  <c r="AD14" i="14" s="1"/>
  <c r="H78" i="14"/>
  <c r="AA78" i="14"/>
  <c r="AC78" i="14" s="1"/>
  <c r="AD78" i="14" s="1"/>
  <c r="AA76" i="14"/>
  <c r="AC76" i="14" s="1"/>
  <c r="AD76" i="14" s="1"/>
  <c r="H76" i="14"/>
  <c r="H28" i="14"/>
  <c r="AA28" i="14"/>
  <c r="AC28" i="14" s="1"/>
  <c r="AD28" i="14" s="1"/>
  <c r="N6" i="14"/>
  <c r="N12" i="14" s="1"/>
  <c r="L12" i="14"/>
  <c r="H44" i="14"/>
  <c r="AA44" i="14"/>
  <c r="AC44" i="14" s="1"/>
  <c r="AD44" i="14" s="1"/>
  <c r="AA32" i="14"/>
  <c r="AC32" i="14" s="1"/>
  <c r="H32" i="14"/>
  <c r="AA72" i="14"/>
  <c r="AC72" i="14" s="1"/>
  <c r="AD72" i="14" s="1"/>
  <c r="H72" i="14"/>
  <c r="H50" i="14"/>
  <c r="AA50" i="14"/>
  <c r="AC50" i="14" s="1"/>
  <c r="AD50" i="14" s="1"/>
  <c r="AA83" i="14"/>
  <c r="AC83" i="14" s="1"/>
  <c r="AD83" i="14" s="1"/>
  <c r="AA80" i="14"/>
  <c r="AC80" i="14" s="1"/>
  <c r="H80" i="14"/>
  <c r="H26" i="14"/>
  <c r="AA26" i="14"/>
  <c r="AC26" i="14" s="1"/>
  <c r="AD26" i="14" s="1"/>
  <c r="H61" i="14"/>
  <c r="AA61" i="14"/>
  <c r="AC61" i="14" s="1"/>
  <c r="AD61" i="14" s="1"/>
  <c r="AA9" i="14"/>
  <c r="AC9" i="14" s="1"/>
  <c r="AD9" i="14" s="1"/>
  <c r="K9" i="14"/>
  <c r="H22" i="14"/>
  <c r="AA22" i="14"/>
  <c r="AC22" i="14" s="1"/>
  <c r="AD22" i="14" s="1"/>
  <c r="H85" i="14"/>
  <c r="AA85" i="14"/>
  <c r="AC85" i="14" s="1"/>
  <c r="AD85" i="14" s="1"/>
  <c r="AA70" i="14"/>
  <c r="AC70" i="14" s="1"/>
  <c r="H48" i="14"/>
  <c r="H77" i="14"/>
  <c r="AA77" i="14"/>
  <c r="AC77" i="14" s="1"/>
  <c r="AD77" i="14" s="1"/>
  <c r="H45" i="14"/>
  <c r="AA45" i="14"/>
  <c r="AC45" i="14" s="1"/>
  <c r="H33" i="14"/>
  <c r="AA33" i="14"/>
  <c r="AC33" i="14" s="1"/>
  <c r="AI97" i="14" s="1"/>
  <c r="H73" i="14"/>
  <c r="AA73" i="14"/>
  <c r="AC73" i="14" s="1"/>
  <c r="AD73" i="14" s="1"/>
  <c r="H52" i="14"/>
  <c r="AA52" i="14"/>
  <c r="AC52" i="14" s="1"/>
  <c r="AD52" i="14" s="1"/>
  <c r="H71" i="14"/>
  <c r="AA71" i="14"/>
  <c r="AC71" i="14" s="1"/>
  <c r="H49" i="14"/>
  <c r="AA49" i="14"/>
  <c r="AC49" i="14" s="1"/>
  <c r="H27" i="14"/>
  <c r="AA27" i="14"/>
  <c r="AC27" i="14" s="1"/>
  <c r="AD27" i="14" s="1"/>
  <c r="K6" i="14"/>
  <c r="I12" i="14"/>
  <c r="AA6" i="14"/>
  <c r="AA17" i="14"/>
  <c r="AC17" i="14" s="1"/>
  <c r="H17" i="14"/>
  <c r="H58" i="14"/>
  <c r="AA58" i="14"/>
  <c r="AC58" i="14" s="1"/>
  <c r="AD58" i="14" s="1"/>
  <c r="K11" i="14"/>
  <c r="AA11" i="14"/>
  <c r="AC11" i="14" s="1"/>
  <c r="AD11" i="14" s="1"/>
  <c r="H29" i="14"/>
  <c r="AA29" i="14"/>
  <c r="AC29" i="14" s="1"/>
  <c r="AD29" i="14" s="1"/>
  <c r="O12" i="14"/>
  <c r="Q6" i="14"/>
  <c r="Q12" i="14" s="1"/>
  <c r="H43" i="14"/>
  <c r="AA43" i="14"/>
  <c r="AC43" i="14" s="1"/>
  <c r="AD43" i="14" s="1"/>
  <c r="AA31" i="14"/>
  <c r="AC31" i="14" s="1"/>
  <c r="AD31" i="14" s="1"/>
  <c r="H31" i="14"/>
  <c r="AA69" i="14"/>
  <c r="AC69" i="14" s="1"/>
  <c r="K69" i="14"/>
  <c r="H41" i="14"/>
  <c r="AA41" i="14"/>
  <c r="AC41" i="14" s="1"/>
  <c r="AD41" i="14" s="1"/>
  <c r="T27" i="10"/>
  <c r="O110" i="9"/>
  <c r="L68" i="14"/>
  <c r="N68" i="14" s="1"/>
  <c r="L56" i="14"/>
  <c r="N56" i="14" s="1"/>
  <c r="L40" i="14"/>
  <c r="N40" i="14" s="1"/>
  <c r="H58" i="10"/>
  <c r="H85" i="10"/>
  <c r="H83" i="10"/>
  <c r="O15" i="9"/>
  <c r="AZ33" i="10" l="1"/>
  <c r="AZ86" i="10"/>
  <c r="AP73" i="10"/>
  <c r="AP81" i="10"/>
  <c r="AF31" i="10"/>
  <c r="AP65" i="10"/>
  <c r="K88" i="10"/>
  <c r="H88" i="10"/>
  <c r="AO17" i="10"/>
  <c r="AZ17" i="10" s="1"/>
  <c r="AO16" i="10"/>
  <c r="AZ16" i="10" s="1"/>
  <c r="AO25" i="10"/>
  <c r="AZ25" i="10" s="1"/>
  <c r="AM88" i="10"/>
  <c r="AO29" i="10"/>
  <c r="AZ29" i="10" s="1"/>
  <c r="AO28" i="10"/>
  <c r="AZ28" i="10" s="1"/>
  <c r="AO27" i="10"/>
  <c r="AZ27" i="10" s="1"/>
  <c r="AO26" i="10"/>
  <c r="AZ26" i="10" s="1"/>
  <c r="AO21" i="10"/>
  <c r="AZ21" i="10" s="1"/>
  <c r="AO18" i="10"/>
  <c r="AZ18" i="10" s="1"/>
  <c r="AO30" i="10"/>
  <c r="AZ30" i="10" s="1"/>
  <c r="AP15" i="10"/>
  <c r="K68" i="14"/>
  <c r="AP14" i="10"/>
  <c r="AC6" i="14"/>
  <c r="AA12" i="14"/>
  <c r="K12" i="14"/>
  <c r="O68" i="14"/>
  <c r="Q68" i="14" s="1"/>
  <c r="O56" i="14"/>
  <c r="Q56" i="14" s="1"/>
  <c r="K48" i="10"/>
  <c r="K60" i="10"/>
  <c r="AO88" i="10" l="1"/>
  <c r="AZ88" i="10" s="1"/>
  <c r="AP16" i="10"/>
  <c r="AP25" i="10"/>
  <c r="AP26" i="10"/>
  <c r="O40" i="14"/>
  <c r="Q40" i="14" s="1"/>
  <c r="AP17" i="10"/>
  <c r="AP30" i="10"/>
  <c r="AP29" i="10"/>
  <c r="AP27" i="10"/>
  <c r="AP28" i="10"/>
  <c r="AP18" i="10"/>
  <c r="AP21" i="10"/>
  <c r="AC12" i="14"/>
  <c r="AD6" i="14"/>
  <c r="N83" i="10"/>
  <c r="N60" i="10"/>
  <c r="R68" i="14"/>
  <c r="N48" i="10"/>
  <c r="N88" i="10" l="1"/>
  <c r="Q83" i="10"/>
  <c r="Q88" i="10" s="1"/>
  <c r="R40" i="14"/>
  <c r="T68" i="14"/>
  <c r="AA68" i="14"/>
  <c r="AC68" i="14" s="1"/>
  <c r="AD68" i="14" s="1"/>
  <c r="R56" i="14"/>
  <c r="AD12" i="14"/>
  <c r="AO36" i="10" l="1"/>
  <c r="AZ36" i="10" s="1"/>
  <c r="W83" i="10"/>
  <c r="T56" i="14"/>
  <c r="AA56" i="14"/>
  <c r="AC56" i="14" s="1"/>
  <c r="T40" i="14"/>
  <c r="AA40" i="14"/>
  <c r="AP36" i="10" l="1"/>
  <c r="AC60" i="10"/>
  <c r="AC83" i="10"/>
  <c r="AC88" i="10" s="1"/>
  <c r="Z83" i="10"/>
  <c r="Z88" i="10" s="1"/>
  <c r="W60" i="10"/>
  <c r="AC40" i="14"/>
  <c r="AC48" i="10" l="1"/>
  <c r="AI88" i="10" l="1"/>
  <c r="AI48" i="10" l="1"/>
  <c r="AF88" i="10"/>
  <c r="AL83" i="10"/>
  <c r="AL88" i="10" s="1"/>
  <c r="AL48" i="10" l="1"/>
  <c r="AL60" i="10"/>
  <c r="O106" i="9"/>
  <c r="U50" i="8" l="1"/>
  <c r="D99" i="8" l="1"/>
  <c r="Q19" i="8"/>
  <c r="T50" i="8"/>
  <c r="Q41" i="8"/>
  <c r="F20" i="8"/>
  <c r="G20" i="8"/>
  <c r="H20" i="8"/>
  <c r="H24" i="8" s="1"/>
  <c r="I20" i="8"/>
  <c r="J20" i="8"/>
  <c r="K20" i="8"/>
  <c r="L20" i="8"/>
  <c r="M20" i="8"/>
  <c r="N20" i="8"/>
  <c r="O20" i="8"/>
  <c r="F23" i="8"/>
  <c r="F24" i="8" s="1"/>
  <c r="G23" i="8"/>
  <c r="G24" i="8" s="1"/>
  <c r="H23" i="8"/>
  <c r="I23" i="8"/>
  <c r="J23" i="8"/>
  <c r="K23" i="8"/>
  <c r="L23" i="8"/>
  <c r="M23" i="8"/>
  <c r="N23" i="8"/>
  <c r="O23" i="8"/>
  <c r="F34" i="8"/>
  <c r="G34" i="8"/>
  <c r="H34" i="8"/>
  <c r="I34" i="8"/>
  <c r="J34" i="8"/>
  <c r="K34" i="8"/>
  <c r="L34" i="8"/>
  <c r="M34" i="8"/>
  <c r="N34" i="8"/>
  <c r="O34" i="8"/>
  <c r="F87" i="8"/>
  <c r="G87" i="8"/>
  <c r="H87" i="8"/>
  <c r="I87" i="8"/>
  <c r="J87" i="8"/>
  <c r="K87" i="8"/>
  <c r="L87" i="8"/>
  <c r="M87" i="8"/>
  <c r="N87" i="8"/>
  <c r="O87" i="8"/>
  <c r="Q86" i="8"/>
  <c r="Q85" i="8"/>
  <c r="Q84" i="8"/>
  <c r="P84" i="8"/>
  <c r="Q83" i="8"/>
  <c r="Q82" i="8"/>
  <c r="P82" i="8"/>
  <c r="Q81" i="8"/>
  <c r="P81" i="8"/>
  <c r="Q80" i="8"/>
  <c r="P80" i="8"/>
  <c r="Q79" i="8"/>
  <c r="Q77" i="8"/>
  <c r="Q75" i="8"/>
  <c r="Q74" i="8"/>
  <c r="Q73" i="8"/>
  <c r="Q71" i="8"/>
  <c r="P71" i="8"/>
  <c r="Q70" i="8"/>
  <c r="P70" i="8"/>
  <c r="Q69" i="8"/>
  <c r="P69" i="8"/>
  <c r="Q66" i="8"/>
  <c r="Q65" i="8"/>
  <c r="P65" i="8"/>
  <c r="Q63" i="8"/>
  <c r="P63" i="8"/>
  <c r="Q62" i="8"/>
  <c r="P62" i="8"/>
  <c r="Q61" i="8"/>
  <c r="Q60" i="8"/>
  <c r="P60" i="8"/>
  <c r="Q59" i="8"/>
  <c r="P59" i="8"/>
  <c r="Q58" i="8"/>
  <c r="Q57" i="8"/>
  <c r="P57" i="8"/>
  <c r="Q56" i="8"/>
  <c r="P56" i="8"/>
  <c r="Q55" i="8"/>
  <c r="Q54" i="8"/>
  <c r="Q53" i="8"/>
  <c r="Q52" i="8"/>
  <c r="Q51" i="8"/>
  <c r="P51" i="8"/>
  <c r="Q50" i="8"/>
  <c r="Q49" i="8"/>
  <c r="P49" i="8"/>
  <c r="Q47" i="8"/>
  <c r="Q46" i="8"/>
  <c r="Q45" i="8"/>
  <c r="P45" i="8"/>
  <c r="Q44" i="8"/>
  <c r="Q42" i="8"/>
  <c r="P42" i="8"/>
  <c r="Q40" i="8"/>
  <c r="P40" i="8"/>
  <c r="Q39" i="8"/>
  <c r="P39" i="8"/>
  <c r="Q37" i="8"/>
  <c r="P37" i="8"/>
  <c r="Q36" i="8"/>
  <c r="Q33" i="8"/>
  <c r="P33" i="8"/>
  <c r="Q32" i="8"/>
  <c r="P32" i="8"/>
  <c r="Q31" i="8"/>
  <c r="Q26" i="8"/>
  <c r="Q18" i="8"/>
  <c r="Q17" i="8"/>
  <c r="P17" i="8"/>
  <c r="Q14" i="8"/>
  <c r="Q7" i="8"/>
  <c r="Q8" i="8"/>
  <c r="Q10" i="8"/>
  <c r="Q11" i="8"/>
  <c r="Q6" i="8"/>
  <c r="P7" i="8"/>
  <c r="P8" i="8"/>
  <c r="P6" i="8"/>
  <c r="F12" i="8"/>
  <c r="G12" i="8"/>
  <c r="H12" i="8"/>
  <c r="I12" i="8"/>
  <c r="J12" i="8"/>
  <c r="K12" i="8"/>
  <c r="L12" i="8"/>
  <c r="M12" i="8"/>
  <c r="N12" i="8"/>
  <c r="O12" i="8"/>
  <c r="E84" i="8"/>
  <c r="R84" i="8" s="1"/>
  <c r="S84" i="8" s="1"/>
  <c r="E82" i="8"/>
  <c r="R82" i="8" s="1"/>
  <c r="S82" i="8" s="1"/>
  <c r="E81" i="8"/>
  <c r="R81" i="8" s="1"/>
  <c r="E80" i="8"/>
  <c r="R80" i="8" s="1"/>
  <c r="E71" i="8"/>
  <c r="R71" i="8" s="1"/>
  <c r="E70" i="8"/>
  <c r="R70" i="8" s="1"/>
  <c r="E69" i="8"/>
  <c r="R69" i="8" s="1"/>
  <c r="E65" i="8"/>
  <c r="R65" i="8" s="1"/>
  <c r="E63" i="8"/>
  <c r="R63" i="8" s="1"/>
  <c r="S63" i="8" s="1"/>
  <c r="E62" i="8"/>
  <c r="R62" i="8" s="1"/>
  <c r="S62" i="8" s="1"/>
  <c r="E60" i="8"/>
  <c r="R60" i="8" s="1"/>
  <c r="S60" i="8" s="1"/>
  <c r="E59" i="8"/>
  <c r="R59" i="8" s="1"/>
  <c r="S59" i="8" s="1"/>
  <c r="E57" i="8"/>
  <c r="R57" i="8" s="1"/>
  <c r="E56" i="8"/>
  <c r="R56" i="8" s="1"/>
  <c r="E51" i="8"/>
  <c r="R51" i="8" s="1"/>
  <c r="E49" i="8"/>
  <c r="R49" i="8" s="1"/>
  <c r="E45" i="8"/>
  <c r="R45" i="8" s="1"/>
  <c r="E42" i="8"/>
  <c r="R42" i="8" s="1"/>
  <c r="E40" i="8"/>
  <c r="R40" i="8" s="1"/>
  <c r="E39" i="8"/>
  <c r="R39" i="8" s="1"/>
  <c r="E37" i="8"/>
  <c r="R37" i="8" s="1"/>
  <c r="Q35" i="8"/>
  <c r="Q28" i="8"/>
  <c r="E33" i="8"/>
  <c r="R33" i="8" s="1"/>
  <c r="E32" i="8"/>
  <c r="R32" i="8" s="1"/>
  <c r="E17" i="8"/>
  <c r="R17" i="8" s="1"/>
  <c r="Q67" i="8"/>
  <c r="Q78" i="8"/>
  <c r="Q43" i="8"/>
  <c r="Q48" i="8"/>
  <c r="Q72" i="8"/>
  <c r="Q76" i="8"/>
  <c r="Q64" i="8"/>
  <c r="Q38" i="8"/>
  <c r="Q68" i="8"/>
  <c r="Q27" i="8"/>
  <c r="Q29" i="8"/>
  <c r="Q30" i="8"/>
  <c r="Q22" i="8"/>
  <c r="Q16" i="8"/>
  <c r="Q15" i="8"/>
  <c r="Q25" i="8"/>
  <c r="Q13" i="8"/>
  <c r="E8" i="8"/>
  <c r="R8" i="8" s="1"/>
  <c r="E7" i="8"/>
  <c r="R7" i="8" s="1"/>
  <c r="E6" i="8"/>
  <c r="R6" i="8" s="1"/>
  <c r="E10" i="8"/>
  <c r="R10" i="8" s="1"/>
  <c r="D12" i="8"/>
  <c r="AP88" i="10" l="1"/>
  <c r="K24" i="8"/>
  <c r="I24" i="8"/>
  <c r="J24" i="8"/>
  <c r="I88" i="8"/>
  <c r="I89" i="8" s="1"/>
  <c r="S51" i="8"/>
  <c r="Q20" i="8"/>
  <c r="Q87" i="8"/>
  <c r="D23" i="8"/>
  <c r="Q21" i="8"/>
  <c r="Q23" i="8" s="1"/>
  <c r="Q34" i="8"/>
  <c r="D96" i="8"/>
  <c r="D98" i="8" s="1"/>
  <c r="H88" i="8"/>
  <c r="H89" i="8" s="1"/>
  <c r="G88" i="8"/>
  <c r="G89" i="8" s="1"/>
  <c r="F88" i="8"/>
  <c r="F89" i="8" s="1"/>
  <c r="L24" i="8"/>
  <c r="L88" i="8" s="1"/>
  <c r="L89" i="8" s="1"/>
  <c r="Q9" i="8"/>
  <c r="Q12" i="8" s="1"/>
  <c r="P10" i="8"/>
  <c r="S10" i="8" s="1"/>
  <c r="J88" i="8"/>
  <c r="J89" i="8" s="1"/>
  <c r="O24" i="8"/>
  <c r="O88" i="8" s="1"/>
  <c r="O89" i="8" s="1"/>
  <c r="N24" i="8"/>
  <c r="M24" i="8"/>
  <c r="N88" i="8"/>
  <c r="N89" i="8" s="1"/>
  <c r="M88" i="8"/>
  <c r="M89" i="8" s="1"/>
  <c r="K88" i="8"/>
  <c r="K89" i="8" s="1"/>
  <c r="D87" i="8"/>
  <c r="D34" i="8"/>
  <c r="D20" i="8"/>
  <c r="Q24" i="8" l="1"/>
  <c r="Q88" i="8"/>
  <c r="Q89" i="8" s="1"/>
  <c r="D24" i="8"/>
  <c r="D88" i="8" s="1"/>
  <c r="D89" i="8" l="1"/>
  <c r="D100" i="8"/>
  <c r="P9" i="8" l="1"/>
  <c r="E53" i="8" l="1"/>
  <c r="R53" i="8" s="1"/>
  <c r="P53" i="8"/>
  <c r="E48" i="8"/>
  <c r="R48" i="8" s="1"/>
  <c r="P48" i="8"/>
  <c r="E72" i="8"/>
  <c r="R72" i="8" s="1"/>
  <c r="P72" i="8"/>
  <c r="E74" i="8"/>
  <c r="R74" i="8" s="1"/>
  <c r="P74" i="8"/>
  <c r="E15" i="8"/>
  <c r="R15" i="8" s="1"/>
  <c r="P15" i="8"/>
  <c r="E35" i="8"/>
  <c r="R35" i="8" s="1"/>
  <c r="P35" i="8"/>
  <c r="E64" i="8"/>
  <c r="R64" i="8" s="1"/>
  <c r="P64" i="8"/>
  <c r="E46" i="8"/>
  <c r="R46" i="8" s="1"/>
  <c r="P46" i="8"/>
  <c r="E58" i="8"/>
  <c r="R58" i="8" s="1"/>
  <c r="P58" i="8"/>
  <c r="E13" i="8"/>
  <c r="R13" i="8" s="1"/>
  <c r="P13" i="8"/>
  <c r="E55" i="8"/>
  <c r="R55" i="8" s="1"/>
  <c r="P55" i="8"/>
  <c r="E47" i="8"/>
  <c r="R47" i="8" s="1"/>
  <c r="P47" i="8"/>
  <c r="E44" i="8"/>
  <c r="R44" i="8" s="1"/>
  <c r="S44" i="8" s="1"/>
  <c r="P44" i="8"/>
  <c r="P12" i="8"/>
  <c r="E38" i="8"/>
  <c r="R38" i="8" s="1"/>
  <c r="P38" i="8"/>
  <c r="E83" i="8"/>
  <c r="R83" i="8" s="1"/>
  <c r="P83" i="8"/>
  <c r="E77" i="8"/>
  <c r="R77" i="8" s="1"/>
  <c r="P77" i="8"/>
  <c r="E36" i="8"/>
  <c r="R36" i="8" s="1"/>
  <c r="P36" i="8"/>
  <c r="E11" i="8"/>
  <c r="R11" i="8" s="1"/>
  <c r="S11" i="8" s="1"/>
  <c r="P11" i="8"/>
  <c r="E41" i="8"/>
  <c r="R41" i="8" s="1"/>
  <c r="P41" i="8"/>
  <c r="E61" i="8"/>
  <c r="R61" i="8" s="1"/>
  <c r="P61" i="8"/>
  <c r="E18" i="8"/>
  <c r="R18" i="8" s="1"/>
  <c r="P18" i="8"/>
  <c r="E14" i="8"/>
  <c r="R14" i="8" s="1"/>
  <c r="P14" i="8"/>
  <c r="E67" i="8"/>
  <c r="R67" i="8" s="1"/>
  <c r="P67" i="8"/>
  <c r="E73" i="8"/>
  <c r="R73" i="8" s="1"/>
  <c r="S73" i="8" s="1"/>
  <c r="P73" i="8"/>
  <c r="E43" i="8"/>
  <c r="R43" i="8" s="1"/>
  <c r="P43" i="8"/>
  <c r="E21" i="8"/>
  <c r="R21" i="8" s="1"/>
  <c r="P21" i="8"/>
  <c r="P23" i="8" s="1"/>
  <c r="E52" i="8"/>
  <c r="R52" i="8" s="1"/>
  <c r="P52" i="8"/>
  <c r="E76" i="8"/>
  <c r="R76" i="8" s="1"/>
  <c r="P76" i="8"/>
  <c r="E19" i="8"/>
  <c r="R19" i="8" s="1"/>
  <c r="P19" i="8"/>
  <c r="E22" i="8"/>
  <c r="R22" i="8" s="1"/>
  <c r="S22" i="8" s="1"/>
  <c r="P22" i="8"/>
  <c r="E50" i="8"/>
  <c r="R50" i="8" s="1"/>
  <c r="P50" i="8"/>
  <c r="E68" i="8"/>
  <c r="R68" i="8" s="1"/>
  <c r="P68" i="8"/>
  <c r="E28" i="8"/>
  <c r="R28" i="8" s="1"/>
  <c r="P28" i="8"/>
  <c r="E16" i="8"/>
  <c r="R16" i="8" s="1"/>
  <c r="P16" i="8"/>
  <c r="E66" i="8"/>
  <c r="R66" i="8" s="1"/>
  <c r="S66" i="8" s="1"/>
  <c r="P66" i="8"/>
  <c r="E26" i="8"/>
  <c r="R26" i="8" s="1"/>
  <c r="S26" i="8" s="1"/>
  <c r="P26" i="8"/>
  <c r="E78" i="8"/>
  <c r="R78" i="8" s="1"/>
  <c r="P78" i="8"/>
  <c r="E30" i="8"/>
  <c r="R30" i="8" s="1"/>
  <c r="P30" i="8"/>
  <c r="E54" i="8"/>
  <c r="R54" i="8" s="1"/>
  <c r="P54" i="8"/>
  <c r="E27" i="8"/>
  <c r="R27" i="8" s="1"/>
  <c r="P27" i="8"/>
  <c r="E75" i="8"/>
  <c r="R75" i="8" s="1"/>
  <c r="P75" i="8"/>
  <c r="E31" i="8"/>
  <c r="R31" i="8" s="1"/>
  <c r="S31" i="8" s="1"/>
  <c r="P31" i="8"/>
  <c r="E79" i="8"/>
  <c r="R79" i="8" s="1"/>
  <c r="P79" i="8"/>
  <c r="E85" i="8"/>
  <c r="R85" i="8" s="1"/>
  <c r="P85" i="8"/>
  <c r="E29" i="8"/>
  <c r="R29" i="8" s="1"/>
  <c r="P29" i="8"/>
  <c r="E86" i="8"/>
  <c r="R86" i="8" s="1"/>
  <c r="P86" i="8"/>
  <c r="E25" i="8"/>
  <c r="R25" i="8" s="1"/>
  <c r="P25" i="8"/>
  <c r="P34" i="8" s="1"/>
  <c r="E9" i="8"/>
  <c r="S86" i="8" l="1"/>
  <c r="S13" i="8"/>
  <c r="S25" i="8"/>
  <c r="S58" i="8"/>
  <c r="S36" i="8"/>
  <c r="S67" i="8"/>
  <c r="S64" i="8"/>
  <c r="S47" i="8"/>
  <c r="S35" i="8"/>
  <c r="S55" i="8"/>
  <c r="S15" i="8"/>
  <c r="S14" i="8"/>
  <c r="S77" i="8"/>
  <c r="S19" i="8"/>
  <c r="S74" i="8"/>
  <c r="S52" i="8"/>
  <c r="S18" i="8"/>
  <c r="S83" i="8"/>
  <c r="S72" i="8"/>
  <c r="S16" i="8"/>
  <c r="S29" i="8"/>
  <c r="S21" i="8"/>
  <c r="S61" i="8"/>
  <c r="S38" i="8"/>
  <c r="S85" i="8"/>
  <c r="S46" i="8"/>
  <c r="S48" i="8"/>
  <c r="S27" i="8"/>
  <c r="S54" i="8"/>
  <c r="S30" i="8"/>
  <c r="S78" i="8"/>
  <c r="S50" i="8"/>
  <c r="S43" i="8"/>
  <c r="S41" i="8"/>
  <c r="S75" i="8"/>
  <c r="S76" i="8"/>
  <c r="S28" i="8"/>
  <c r="S68" i="8"/>
  <c r="S79" i="8"/>
  <c r="S53" i="8"/>
  <c r="E87" i="8"/>
  <c r="R34" i="8"/>
  <c r="S34" i="8" s="1"/>
  <c r="P87" i="8"/>
  <c r="R87" i="8"/>
  <c r="P20" i="8"/>
  <c r="P24" i="8" s="1"/>
  <c r="R20" i="8"/>
  <c r="E34" i="8"/>
  <c r="R23" i="8"/>
  <c r="E23" i="8"/>
  <c r="E12" i="8"/>
  <c r="R9" i="8"/>
  <c r="S9" i="8" s="1"/>
  <c r="E20" i="8"/>
  <c r="S87" i="8" l="1"/>
  <c r="S20" i="8"/>
  <c r="R12" i="8"/>
  <c r="S12" i="8" s="1"/>
  <c r="R24" i="8"/>
  <c r="S24" i="8" s="1"/>
  <c r="S23" i="8"/>
  <c r="E24" i="8"/>
  <c r="E88" i="8" s="1"/>
  <c r="E89" i="8" s="1"/>
  <c r="R88" i="8"/>
  <c r="P88" i="8"/>
  <c r="P89" i="8" s="1"/>
  <c r="R89" i="8" l="1"/>
  <c r="S89" i="8" s="1"/>
  <c r="S88" i="8"/>
  <c r="Z94" i="8" l="1"/>
  <c r="X97" i="8" l="1"/>
  <c r="C23" i="8"/>
  <c r="X92" i="8"/>
  <c r="X95" i="8"/>
  <c r="C34" i="8"/>
  <c r="C87" i="8"/>
  <c r="C12" i="8"/>
  <c r="X91" i="8"/>
  <c r="C20" i="8" l="1"/>
  <c r="X98" i="8"/>
  <c r="B12" i="8"/>
  <c r="B23" i="8"/>
  <c r="B34" i="8"/>
  <c r="X99" i="8" l="1"/>
  <c r="X100" i="8" s="1"/>
  <c r="C24" i="8"/>
  <c r="B20" i="8"/>
  <c r="B24" i="8" s="1"/>
  <c r="B88" i="8" s="1"/>
  <c r="B89" i="8" s="1"/>
  <c r="C88" i="8" l="1"/>
  <c r="C89" i="8" l="1"/>
  <c r="X101" i="8" l="1"/>
  <c r="J19" i="10" l="1"/>
  <c r="J23" i="10" s="1"/>
  <c r="J31" i="10"/>
  <c r="J90" i="10" l="1"/>
  <c r="P22" i="10"/>
  <c r="P23" i="10" s="1"/>
  <c r="J173" i="9" l="1"/>
  <c r="J91" i="10"/>
  <c r="P90" i="10"/>
  <c r="AK31" i="10" l="1"/>
  <c r="AL24" i="10"/>
  <c r="AL31" i="10" s="1"/>
  <c r="AK22" i="10"/>
  <c r="AK23" i="10" s="1"/>
  <c r="AN22" i="10" l="1"/>
  <c r="E32" i="10" l="1"/>
  <c r="E45" i="10" s="1"/>
  <c r="F36" i="14"/>
  <c r="K32" i="10" l="1"/>
  <c r="K45" i="10" s="1"/>
  <c r="H36" i="14"/>
  <c r="I36" i="14"/>
  <c r="K36" i="14" s="1"/>
  <c r="N32" i="10" l="1"/>
  <c r="N45" i="10" s="1"/>
  <c r="L36" i="14"/>
  <c r="N36" i="14" s="1"/>
  <c r="Q32" i="10" l="1"/>
  <c r="Q45" i="10" s="1"/>
  <c r="O36" i="14"/>
  <c r="Q36" i="14" s="1"/>
  <c r="J102" i="9" l="1"/>
  <c r="R36" i="14"/>
  <c r="K102" i="9" l="1"/>
  <c r="R175" i="9"/>
  <c r="T36" i="14"/>
  <c r="AA36" i="14"/>
  <c r="AC36" i="14" s="1"/>
  <c r="AD36" i="14" s="1"/>
  <c r="AC32" i="10" l="1"/>
  <c r="AC45" i="10" s="1"/>
  <c r="AA45" i="10"/>
  <c r="C163" i="9"/>
  <c r="B163" i="9"/>
  <c r="C89" i="10" l="1"/>
  <c r="E46" i="10"/>
  <c r="E80" i="10" s="1"/>
  <c r="B89" i="10"/>
  <c r="L102" i="9"/>
  <c r="F35" i="14"/>
  <c r="M102" i="9" l="1"/>
  <c r="X22" i="10"/>
  <c r="E89" i="10"/>
  <c r="AF32" i="10"/>
  <c r="AF45" i="10" s="1"/>
  <c r="AD45" i="10"/>
  <c r="H35" i="14"/>
  <c r="H87" i="14" s="1"/>
  <c r="F87" i="14"/>
  <c r="I35" i="14"/>
  <c r="AE87" i="14" l="1"/>
  <c r="K46" i="10"/>
  <c r="K80" i="10" s="1"/>
  <c r="N102" i="9"/>
  <c r="K35" i="14"/>
  <c r="K87" i="14" s="1"/>
  <c r="I87" i="14"/>
  <c r="L35" i="14"/>
  <c r="AC20" i="10"/>
  <c r="AC22" i="10" s="1"/>
  <c r="AA22" i="10"/>
  <c r="O35" i="14" l="1"/>
  <c r="O102" i="9"/>
  <c r="N35" i="14"/>
  <c r="Z20" i="10"/>
  <c r="Z22" i="10" s="1"/>
  <c r="AD22" i="10"/>
  <c r="AF20" i="10"/>
  <c r="AJ45" i="10" l="1"/>
  <c r="AM32" i="10"/>
  <c r="AM45" i="10" s="1"/>
  <c r="K89" i="10"/>
  <c r="AI32" i="10"/>
  <c r="AI45" i="10" s="1"/>
  <c r="AG45" i="10"/>
  <c r="AL32" i="10"/>
  <c r="AF22" i="10"/>
  <c r="Q35" i="14"/>
  <c r="R35" i="14"/>
  <c r="Q46" i="10"/>
  <c r="AG22" i="10"/>
  <c r="AI20" i="10"/>
  <c r="AI22" i="10" s="1"/>
  <c r="T35" i="14" l="1"/>
  <c r="J101" i="9"/>
  <c r="R174" i="9" s="1"/>
  <c r="AA35" i="14"/>
  <c r="AJ22" i="10"/>
  <c r="AL22" i="10"/>
  <c r="AC35" i="14" l="1"/>
  <c r="K101" i="9"/>
  <c r="AD35" i="14" l="1"/>
  <c r="L101" i="9"/>
  <c r="M101" i="9" l="1"/>
  <c r="AF46" i="10"/>
  <c r="AC46" i="10"/>
  <c r="AL34" i="10" l="1"/>
  <c r="AN34" i="10"/>
  <c r="AO34" i="10" s="1"/>
  <c r="AZ34" i="10" s="1"/>
  <c r="N101" i="9"/>
  <c r="AP34" i="10" l="1"/>
  <c r="AJ80" i="10"/>
  <c r="AL35" i="10"/>
  <c r="AN35" i="10"/>
  <c r="AO35" i="10" s="1"/>
  <c r="AZ35" i="10" s="1"/>
  <c r="AK45" i="10"/>
  <c r="AK89" i="10" s="1"/>
  <c r="AK90" i="10" s="1"/>
  <c r="AL45" i="10"/>
  <c r="AI46" i="10"/>
  <c r="O101" i="9"/>
  <c r="AP35" i="10" l="1"/>
  <c r="AL46" i="10"/>
  <c r="O112" i="9" l="1"/>
  <c r="L46" i="14"/>
  <c r="N46" i="14" l="1"/>
  <c r="AA46" i="14"/>
  <c r="AC46" i="14" l="1"/>
  <c r="AD46" i="14" l="1"/>
  <c r="G89" i="10" l="1"/>
  <c r="H46" i="10"/>
  <c r="H80" i="10" s="1"/>
  <c r="H89" i="10" l="1"/>
  <c r="G90" i="10"/>
  <c r="G173" i="9" l="1"/>
  <c r="G91" i="10"/>
  <c r="AN32" i="10" l="1"/>
  <c r="AN45" i="10" l="1"/>
  <c r="AO32" i="10"/>
  <c r="AZ45" i="10" l="1"/>
  <c r="AZ32" i="10"/>
  <c r="AP32" i="10"/>
  <c r="AP45" i="10" l="1"/>
  <c r="S23" i="10" l="1"/>
  <c r="S90" i="10" s="1"/>
  <c r="S91" i="10" l="1"/>
  <c r="AF72" i="10" l="1"/>
  <c r="AC72" i="10"/>
  <c r="O153" i="9" l="1"/>
  <c r="AL72" i="10"/>
  <c r="AI72" i="10"/>
  <c r="AI53" i="10"/>
  <c r="AO72" i="10" l="1"/>
  <c r="AZ72" i="10" s="1"/>
  <c r="AL53" i="10"/>
  <c r="AP72" i="10" l="1"/>
  <c r="AG80" i="10"/>
  <c r="AG89" i="10" s="1"/>
  <c r="AI76" i="10"/>
  <c r="AI80" i="10" s="1"/>
  <c r="AI89" i="10" l="1"/>
  <c r="AL76" i="10"/>
  <c r="AL80" i="10" s="1"/>
  <c r="AJ89" i="10"/>
  <c r="AL89" i="10" l="1"/>
  <c r="O178" i="9" l="1"/>
  <c r="G168" i="9" l="1"/>
  <c r="I168" i="9" l="1"/>
  <c r="H168" i="9"/>
  <c r="J168" i="9"/>
  <c r="K168" i="9" l="1"/>
  <c r="M19" i="10" l="1"/>
  <c r="M23" i="10" s="1"/>
  <c r="M31" i="10" l="1"/>
  <c r="M89" i="10" l="1"/>
  <c r="M90" i="10" s="1"/>
  <c r="N46" i="10"/>
  <c r="AO46" i="10" l="1"/>
  <c r="AN80" i="10"/>
  <c r="M173" i="9"/>
  <c r="M91" i="10"/>
  <c r="AZ46" i="10" l="1"/>
  <c r="AN89" i="10"/>
  <c r="AP46" i="10"/>
  <c r="P12" i="10" l="1"/>
  <c r="P91" i="10" s="1"/>
  <c r="AO9" i="10"/>
  <c r="AP9" i="10" s="1"/>
  <c r="Q12" i="10" l="1"/>
  <c r="AE19" i="10" l="1"/>
  <c r="AE23" i="10" s="1"/>
  <c r="AE90" i="10" s="1"/>
  <c r="AE91" i="10" l="1"/>
  <c r="L84" i="14" l="1"/>
  <c r="Q76" i="10" l="1"/>
  <c r="O84" i="14"/>
  <c r="Q84" i="14" s="1"/>
  <c r="L48" i="14"/>
  <c r="N84" i="14"/>
  <c r="N76" i="10"/>
  <c r="N53" i="10" l="1"/>
  <c r="R84" i="14"/>
  <c r="G163" i="9"/>
  <c r="O48" i="14"/>
  <c r="N48" i="14"/>
  <c r="N87" i="14" s="1"/>
  <c r="L87" i="14"/>
  <c r="G189" i="9"/>
  <c r="N80" i="10" l="1"/>
  <c r="H179" i="9"/>
  <c r="Q48" i="14"/>
  <c r="Q87" i="14" s="1"/>
  <c r="O87" i="14"/>
  <c r="Q53" i="10"/>
  <c r="Q80" i="10" s="1"/>
  <c r="O89" i="10"/>
  <c r="T76" i="10"/>
  <c r="T84" i="14"/>
  <c r="AA84" i="14"/>
  <c r="AC84" i="14" s="1"/>
  <c r="AD84" i="14" s="1"/>
  <c r="L159" i="9"/>
  <c r="K159" i="9"/>
  <c r="AC76" i="10" s="1"/>
  <c r="J159" i="9"/>
  <c r="H182" i="9"/>
  <c r="Q89" i="10" l="1"/>
  <c r="N89" i="10"/>
  <c r="L114" i="9"/>
  <c r="K114" i="9"/>
  <c r="J114" i="9"/>
  <c r="AF76" i="10"/>
  <c r="H163" i="9"/>
  <c r="R48" i="14"/>
  <c r="O159" i="9"/>
  <c r="AF88" i="14"/>
  <c r="I175" i="9"/>
  <c r="R176" i="9" l="1"/>
  <c r="J163" i="9"/>
  <c r="K163" i="9"/>
  <c r="AM76" i="10"/>
  <c r="T48" i="14"/>
  <c r="T87" i="14" s="1"/>
  <c r="R87" i="14"/>
  <c r="AA48" i="14"/>
  <c r="T53" i="10"/>
  <c r="T80" i="10" s="1"/>
  <c r="R80" i="10"/>
  <c r="R89" i="10" s="1"/>
  <c r="I163" i="9"/>
  <c r="L163" i="9"/>
  <c r="T89" i="10" l="1"/>
  <c r="AO76" i="10"/>
  <c r="AP76" i="10" s="1"/>
  <c r="AC53" i="10"/>
  <c r="AC80" i="10" s="1"/>
  <c r="AC89" i="10" s="1"/>
  <c r="AA80" i="10"/>
  <c r="AA89" i="10" s="1"/>
  <c r="N163" i="9"/>
  <c r="M163" i="9"/>
  <c r="AC48" i="14"/>
  <c r="AA87" i="14"/>
  <c r="AF53" i="10"/>
  <c r="AF80" i="10" s="1"/>
  <c r="AD80" i="10"/>
  <c r="AD89" i="10" s="1"/>
  <c r="W89" i="10"/>
  <c r="U80" i="10"/>
  <c r="U89" i="10" s="1"/>
  <c r="L183" i="9"/>
  <c r="AZ76" i="10" l="1"/>
  <c r="P180" i="9"/>
  <c r="P182" i="9" s="1"/>
  <c r="O114" i="9"/>
  <c r="O163" i="9" s="1"/>
  <c r="AF89" i="10"/>
  <c r="AD48" i="14"/>
  <c r="AC87" i="14"/>
  <c r="X80" i="10"/>
  <c r="X89" i="10" s="1"/>
  <c r="Z80" i="10"/>
  <c r="Z89" i="10" s="1"/>
  <c r="AM80" i="10" l="1"/>
  <c r="AO53" i="10"/>
  <c r="AD87" i="14"/>
  <c r="AZ53" i="10" l="1"/>
  <c r="AO80" i="10"/>
  <c r="AM89" i="10"/>
  <c r="AP53" i="10"/>
  <c r="AZ80" i="10"/>
  <c r="AP80" i="10" l="1"/>
  <c r="AO89" i="10"/>
  <c r="AZ89" i="10" l="1"/>
  <c r="AO90" i="10"/>
  <c r="AP89" i="10"/>
  <c r="AH31" i="10" l="1"/>
  <c r="AI24" i="10"/>
  <c r="AI31" i="10" s="1"/>
  <c r="AN24" i="10"/>
  <c r="AH19" i="10"/>
  <c r="AH23" i="10" s="1"/>
  <c r="AH90" i="10" l="1"/>
  <c r="AN94" i="10" s="1"/>
  <c r="AN31" i="10"/>
  <c r="AH91" i="10"/>
  <c r="AN19" i="10"/>
  <c r="AN23" i="10" l="1"/>
  <c r="AN90" i="10"/>
  <c r="J194" i="9"/>
  <c r="AN95" i="10" l="1"/>
  <c r="AK91" i="10" l="1"/>
  <c r="AL12" i="10"/>
  <c r="AN12" i="10" l="1"/>
  <c r="AN91" i="10" l="1"/>
  <c r="B64" i="9"/>
  <c r="B16" i="9"/>
  <c r="B13" i="10" s="1"/>
  <c r="B24" i="10" l="1"/>
  <c r="C64" i="9"/>
  <c r="D64" i="9" s="1"/>
  <c r="B31" i="10"/>
  <c r="C24" i="10"/>
  <c r="B100" i="9"/>
  <c r="C13" i="10"/>
  <c r="B19" i="10"/>
  <c r="B60" i="9"/>
  <c r="C60" i="9" s="1"/>
  <c r="B59" i="9"/>
  <c r="C16" i="9"/>
  <c r="C59" i="9" s="1"/>
  <c r="F24" i="10" l="1"/>
  <c r="E64" i="9"/>
  <c r="F31" i="10"/>
  <c r="H24" i="10"/>
  <c r="H31" i="10" s="1"/>
  <c r="D100" i="9"/>
  <c r="F25" i="14"/>
  <c r="C62" i="9"/>
  <c r="D60" i="9"/>
  <c r="C100" i="9"/>
  <c r="C31" i="10"/>
  <c r="E24" i="10"/>
  <c r="E31" i="10" s="1"/>
  <c r="E13" i="10"/>
  <c r="E19" i="10" s="1"/>
  <c r="C19" i="10"/>
  <c r="D16" i="9"/>
  <c r="C63" i="9"/>
  <c r="C164" i="9" s="1"/>
  <c r="B20" i="10"/>
  <c r="C20" i="10" s="1"/>
  <c r="F20" i="10" s="1"/>
  <c r="I20" i="10" s="1"/>
  <c r="B62" i="9"/>
  <c r="B63" i="9" s="1"/>
  <c r="B164" i="9" s="1"/>
  <c r="D62" i="9" l="1"/>
  <c r="E60" i="9"/>
  <c r="F60" i="9" s="1"/>
  <c r="G60" i="9" s="1"/>
  <c r="O20" i="10" s="1"/>
  <c r="K20" i="10"/>
  <c r="K22" i="10" s="1"/>
  <c r="I22" i="10"/>
  <c r="I24" i="10"/>
  <c r="F64" i="9"/>
  <c r="L24" i="10" s="1"/>
  <c r="E100" i="9"/>
  <c r="I25" i="14"/>
  <c r="D59" i="9"/>
  <c r="D63" i="9" s="1"/>
  <c r="D164" i="9" s="1"/>
  <c r="F13" i="10"/>
  <c r="F22" i="10"/>
  <c r="D41" i="9" s="1"/>
  <c r="H20" i="10"/>
  <c r="H22" i="10" s="1"/>
  <c r="H25" i="14"/>
  <c r="H34" i="14" s="1"/>
  <c r="F34" i="14"/>
  <c r="F21" i="14"/>
  <c r="B22" i="10"/>
  <c r="B23" i="10" s="1"/>
  <c r="B90" i="10" s="1"/>
  <c r="B107" i="10" s="1"/>
  <c r="B173" i="9"/>
  <c r="B171" i="9"/>
  <c r="L181" i="9"/>
  <c r="C165" i="9"/>
  <c r="C172" i="9"/>
  <c r="C166" i="9"/>
  <c r="E16" i="9"/>
  <c r="F13" i="14"/>
  <c r="O22" i="10" l="1"/>
  <c r="Q22" i="10" s="1"/>
  <c r="Q20" i="10"/>
  <c r="L31" i="10"/>
  <c r="N24" i="10"/>
  <c r="N31" i="10" s="1"/>
  <c r="L20" i="10"/>
  <c r="F62" i="9"/>
  <c r="L21" i="14"/>
  <c r="G64" i="9"/>
  <c r="H64" i="9" s="1"/>
  <c r="R24" i="10" s="1"/>
  <c r="F100" i="9"/>
  <c r="L25" i="14"/>
  <c r="I31" i="10"/>
  <c r="K24" i="10"/>
  <c r="K31" i="10" s="1"/>
  <c r="I21" i="14"/>
  <c r="E62" i="9"/>
  <c r="I13" i="10"/>
  <c r="E59" i="9"/>
  <c r="E63" i="9" s="1"/>
  <c r="I34" i="14"/>
  <c r="K25" i="14"/>
  <c r="K34" i="14" s="1"/>
  <c r="O41" i="9"/>
  <c r="F18" i="14"/>
  <c r="F19" i="10"/>
  <c r="F23" i="10" s="1"/>
  <c r="F90" i="10" s="1"/>
  <c r="H13" i="10"/>
  <c r="H19" i="10" s="1"/>
  <c r="AE34" i="14"/>
  <c r="H21" i="14"/>
  <c r="H23" i="14" s="1"/>
  <c r="F23" i="14"/>
  <c r="C22" i="10"/>
  <c r="C23" i="10" s="1"/>
  <c r="C90" i="10" s="1"/>
  <c r="E20" i="10"/>
  <c r="E22" i="10" s="1"/>
  <c r="D176" i="9"/>
  <c r="D165" i="9"/>
  <c r="F20" i="14"/>
  <c r="H13" i="14"/>
  <c r="H20" i="14" s="1"/>
  <c r="F16" i="9"/>
  <c r="I13" i="14"/>
  <c r="D172" i="9"/>
  <c r="D166" i="9"/>
  <c r="T24" i="10" l="1"/>
  <c r="T31" i="10" s="1"/>
  <c r="R31" i="10"/>
  <c r="O24" i="10"/>
  <c r="G100" i="9"/>
  <c r="F59" i="9"/>
  <c r="F63" i="9" s="1"/>
  <c r="F164" i="9" s="1"/>
  <c r="G16" i="9"/>
  <c r="H16" i="9" s="1"/>
  <c r="L13" i="10"/>
  <c r="N20" i="10"/>
  <c r="N22" i="10" s="1"/>
  <c r="L22" i="10"/>
  <c r="G62" i="9"/>
  <c r="H60" i="9"/>
  <c r="R20" i="10" s="1"/>
  <c r="O21" i="14"/>
  <c r="L23" i="14"/>
  <c r="N21" i="14"/>
  <c r="N23" i="14" s="1"/>
  <c r="I19" i="10"/>
  <c r="I23" i="10" s="1"/>
  <c r="I90" i="10" s="1"/>
  <c r="K13" i="10"/>
  <c r="K19" i="10" s="1"/>
  <c r="K21" i="14"/>
  <c r="K23" i="14" s="1"/>
  <c r="I23" i="14"/>
  <c r="N25" i="14"/>
  <c r="N34" i="14" s="1"/>
  <c r="L34" i="14"/>
  <c r="O25" i="14"/>
  <c r="E164" i="9"/>
  <c r="E176" i="9" s="1"/>
  <c r="H23" i="10"/>
  <c r="H18" i="14"/>
  <c r="AA18" i="14"/>
  <c r="AC18" i="14" s="1"/>
  <c r="AD18" i="14" s="1"/>
  <c r="P164" i="9"/>
  <c r="D173" i="9"/>
  <c r="F91" i="10"/>
  <c r="H24" i="14"/>
  <c r="F24" i="14"/>
  <c r="F88" i="14" s="1"/>
  <c r="F89" i="14" s="1"/>
  <c r="E23" i="10"/>
  <c r="C107" i="10"/>
  <c r="C173" i="9"/>
  <c r="I20" i="14"/>
  <c r="K13" i="14"/>
  <c r="K20" i="14" s="1"/>
  <c r="L13" i="14"/>
  <c r="B12" i="9"/>
  <c r="B8" i="10" s="1"/>
  <c r="B6" i="9"/>
  <c r="B6" i="10" s="1"/>
  <c r="R22" i="10" l="1"/>
  <c r="T20" i="10"/>
  <c r="T22" i="10" s="1"/>
  <c r="K24" i="14"/>
  <c r="K88" i="14" s="1"/>
  <c r="K89" i="14" s="1"/>
  <c r="O13" i="10"/>
  <c r="G59" i="9"/>
  <c r="G63" i="9" s="1"/>
  <c r="G164" i="9" s="1"/>
  <c r="G165" i="9" s="1"/>
  <c r="Q24" i="10"/>
  <c r="Q31" i="10" s="1"/>
  <c r="O31" i="10"/>
  <c r="AM24" i="10"/>
  <c r="I24" i="14"/>
  <c r="I88" i="14" s="1"/>
  <c r="I89" i="14" s="1"/>
  <c r="F165" i="9"/>
  <c r="F180" i="9"/>
  <c r="Q21" i="14"/>
  <c r="Q23" i="14" s="1"/>
  <c r="O23" i="14"/>
  <c r="H62" i="9"/>
  <c r="R23" i="14" s="1"/>
  <c r="I60" i="9"/>
  <c r="U20" i="10" s="1"/>
  <c r="AM20" i="10" s="1"/>
  <c r="R21" i="14"/>
  <c r="AG34" i="14"/>
  <c r="I91" i="10"/>
  <c r="E173" i="9"/>
  <c r="I173" i="9"/>
  <c r="Q25" i="14"/>
  <c r="Q34" i="14" s="1"/>
  <c r="O34" i="14"/>
  <c r="I64" i="9"/>
  <c r="U24" i="10" s="1"/>
  <c r="H100" i="9"/>
  <c r="R25" i="14"/>
  <c r="K23" i="10"/>
  <c r="R166" i="9"/>
  <c r="E172" i="9"/>
  <c r="F172" i="9" s="1"/>
  <c r="E165" i="9"/>
  <c r="E166" i="9"/>
  <c r="F166" i="9" s="1"/>
  <c r="H90" i="10"/>
  <c r="AE24" i="14"/>
  <c r="H88" i="14"/>
  <c r="H89" i="14" s="1"/>
  <c r="AE89" i="14" s="1"/>
  <c r="E90" i="10"/>
  <c r="E8" i="10"/>
  <c r="AM8" i="10"/>
  <c r="AO8" i="10" s="1"/>
  <c r="AP8" i="10" s="1"/>
  <c r="AO6" i="10"/>
  <c r="L20" i="14"/>
  <c r="L24" i="14" s="1"/>
  <c r="L88" i="14" s="1"/>
  <c r="N13" i="14"/>
  <c r="N20" i="14" s="1"/>
  <c r="N24" i="14" s="1"/>
  <c r="N88" i="14" s="1"/>
  <c r="N89" i="14" s="1"/>
  <c r="I16" i="9"/>
  <c r="U13" i="10" s="1"/>
  <c r="O13" i="14"/>
  <c r="L19" i="10"/>
  <c r="L23" i="10" s="1"/>
  <c r="L90" i="10" s="1"/>
  <c r="L91" i="10" s="1"/>
  <c r="N13" i="10"/>
  <c r="N19" i="10" s="1"/>
  <c r="B13" i="9"/>
  <c r="B10" i="10" s="1"/>
  <c r="C10" i="10" s="1"/>
  <c r="B10" i="9"/>
  <c r="B7" i="10" s="1"/>
  <c r="U31" i="10" l="1"/>
  <c r="W24" i="10"/>
  <c r="W31" i="10" s="1"/>
  <c r="U22" i="10"/>
  <c r="W20" i="10"/>
  <c r="W22" i="10" s="1"/>
  <c r="H59" i="9"/>
  <c r="R13" i="10"/>
  <c r="AM13" i="10" s="1"/>
  <c r="AM22" i="10"/>
  <c r="AO20" i="10"/>
  <c r="AM31" i="10"/>
  <c r="AO24" i="10"/>
  <c r="H63" i="9"/>
  <c r="N23" i="10"/>
  <c r="N90" i="10" s="1"/>
  <c r="N91" i="10" s="1"/>
  <c r="T21" i="14"/>
  <c r="T23" i="14" s="1"/>
  <c r="AA21" i="14"/>
  <c r="I62" i="9"/>
  <c r="J60" i="9"/>
  <c r="E169" i="9"/>
  <c r="AF33" i="14"/>
  <c r="R34" i="14"/>
  <c r="T25" i="14"/>
  <c r="T34" i="14" s="1"/>
  <c r="K90" i="10"/>
  <c r="J64" i="9"/>
  <c r="I100" i="9"/>
  <c r="J193" i="9"/>
  <c r="J195" i="9" s="1"/>
  <c r="AA25" i="14"/>
  <c r="AE88" i="14"/>
  <c r="H173" i="9"/>
  <c r="H91" i="10"/>
  <c r="G172" i="9"/>
  <c r="E7" i="10"/>
  <c r="AM7" i="10"/>
  <c r="AO7" i="10" s="1"/>
  <c r="AP7" i="10" s="1"/>
  <c r="E10" i="10"/>
  <c r="AM10" i="10"/>
  <c r="AO10" i="10" s="1"/>
  <c r="AP10" i="10" s="1"/>
  <c r="C12" i="10"/>
  <c r="C91" i="10" s="1"/>
  <c r="E6" i="10"/>
  <c r="O20" i="14"/>
  <c r="O24" i="14" s="1"/>
  <c r="O88" i="14" s="1"/>
  <c r="Q13" i="14"/>
  <c r="Q20" i="14" s="1"/>
  <c r="Q24" i="14" s="1"/>
  <c r="Q13" i="10"/>
  <c r="Q19" i="10" s="1"/>
  <c r="O19" i="10"/>
  <c r="O23" i="10" s="1"/>
  <c r="O90" i="10" s="1"/>
  <c r="I59" i="9"/>
  <c r="R13" i="14"/>
  <c r="T13" i="14" s="1"/>
  <c r="T20" i="14" s="1"/>
  <c r="G166" i="9"/>
  <c r="G169" i="9" s="1"/>
  <c r="F169" i="9"/>
  <c r="L173" i="9"/>
  <c r="F173" i="9"/>
  <c r="L89" i="14"/>
  <c r="I63" i="9" l="1"/>
  <c r="AZ20" i="10"/>
  <c r="AP20" i="10"/>
  <c r="T24" i="14"/>
  <c r="T88" i="14" s="1"/>
  <c r="T89" i="14" s="1"/>
  <c r="Q23" i="10"/>
  <c r="AZ24" i="10"/>
  <c r="AP24" i="10"/>
  <c r="N173" i="9"/>
  <c r="O92" i="10"/>
  <c r="J62" i="9"/>
  <c r="K60" i="9"/>
  <c r="AA23" i="14"/>
  <c r="AC21" i="14"/>
  <c r="K64" i="9"/>
  <c r="J100" i="9"/>
  <c r="K173" i="9"/>
  <c r="K91" i="10"/>
  <c r="AA34" i="14"/>
  <c r="AC25" i="14"/>
  <c r="E12" i="10"/>
  <c r="E91" i="10" s="1"/>
  <c r="AM12" i="10"/>
  <c r="AP6" i="10"/>
  <c r="J16" i="9"/>
  <c r="J59" i="9" s="1"/>
  <c r="I164" i="9"/>
  <c r="O91" i="10"/>
  <c r="AA13" i="14"/>
  <c r="AF24" i="14"/>
  <c r="Q88" i="14"/>
  <c r="Q89" i="14" s="1"/>
  <c r="AB93" i="14" s="1"/>
  <c r="R20" i="14"/>
  <c r="R19" i="10"/>
  <c r="R23" i="10" s="1"/>
  <c r="R90" i="10" s="1"/>
  <c r="T13" i="10"/>
  <c r="T19" i="10" s="1"/>
  <c r="O89" i="14"/>
  <c r="P91" i="14"/>
  <c r="B14" i="9"/>
  <c r="AZ22" i="10" l="1"/>
  <c r="AP22" i="10"/>
  <c r="T23" i="10"/>
  <c r="T90" i="10"/>
  <c r="T91" i="10"/>
  <c r="Q90" i="10"/>
  <c r="AZ31" i="10"/>
  <c r="AP31" i="10"/>
  <c r="J63" i="9"/>
  <c r="J164" i="9" s="1"/>
  <c r="J165" i="9" s="1"/>
  <c r="K62" i="9"/>
  <c r="L60" i="9"/>
  <c r="AC23" i="14"/>
  <c r="AD23" i="14" s="1"/>
  <c r="AD21" i="14"/>
  <c r="AC34" i="14"/>
  <c r="AD34" i="14" s="1"/>
  <c r="AD25" i="14"/>
  <c r="AP12" i="10"/>
  <c r="L64" i="9"/>
  <c r="K100" i="9"/>
  <c r="B15" i="9"/>
  <c r="B165" i="9" s="1"/>
  <c r="B11" i="10"/>
  <c r="B12" i="10" s="1"/>
  <c r="B91" i="10" s="1"/>
  <c r="R91" i="10"/>
  <c r="H181" i="9"/>
  <c r="H183" i="9" s="1"/>
  <c r="R24" i="14"/>
  <c r="R88" i="14" s="1"/>
  <c r="H164" i="9"/>
  <c r="AA20" i="14"/>
  <c r="AA24" i="14" s="1"/>
  <c r="AA88" i="14" s="1"/>
  <c r="AA89" i="14" s="1"/>
  <c r="AC13" i="14"/>
  <c r="I176" i="9"/>
  <c r="I165" i="9"/>
  <c r="K16" i="9"/>
  <c r="K59" i="9" s="1"/>
  <c r="U19" i="10"/>
  <c r="U23" i="10" s="1"/>
  <c r="U90" i="10" s="1"/>
  <c r="W13" i="10"/>
  <c r="W19" i="10" s="1"/>
  <c r="W23" i="10" s="1"/>
  <c r="W90" i="10" s="1"/>
  <c r="W91" i="10" l="1"/>
  <c r="H175" i="9"/>
  <c r="H172" i="9"/>
  <c r="Q91" i="10"/>
  <c r="K63" i="9"/>
  <c r="L62" i="9"/>
  <c r="M60" i="9"/>
  <c r="B186" i="9"/>
  <c r="B187" i="9" s="1"/>
  <c r="M64" i="9"/>
  <c r="L100" i="9"/>
  <c r="L16" i="9"/>
  <c r="L59" i="9" s="1"/>
  <c r="L63" i="9" s="1"/>
  <c r="K164" i="9"/>
  <c r="K165" i="9" s="1"/>
  <c r="X19" i="10"/>
  <c r="X23" i="10" s="1"/>
  <c r="X90" i="10" s="1"/>
  <c r="X91" i="10" s="1"/>
  <c r="Z13" i="10"/>
  <c r="Z19" i="10" s="1"/>
  <c r="Z23" i="10" s="1"/>
  <c r="Z90" i="10" s="1"/>
  <c r="H166" i="9"/>
  <c r="H180" i="9"/>
  <c r="R90" i="14"/>
  <c r="H165" i="9"/>
  <c r="I172" i="9"/>
  <c r="J172" i="9" s="1"/>
  <c r="AC20" i="14"/>
  <c r="AD13" i="14"/>
  <c r="R89" i="14"/>
  <c r="AB92" i="14"/>
  <c r="R92" i="14"/>
  <c r="U91" i="10"/>
  <c r="Z91" i="10" l="1"/>
  <c r="AO94" i="10"/>
  <c r="M62" i="9"/>
  <c r="N60" i="9"/>
  <c r="N64" i="9"/>
  <c r="O64" i="9" s="1"/>
  <c r="M100" i="9"/>
  <c r="K172" i="9"/>
  <c r="H169" i="9"/>
  <c r="I166" i="9"/>
  <c r="AD20" i="14"/>
  <c r="AC24" i="14"/>
  <c r="AC13" i="10"/>
  <c r="AC19" i="10" s="1"/>
  <c r="AC23" i="10" s="1"/>
  <c r="AC90" i="10" s="1"/>
  <c r="AC91" i="10" s="1"/>
  <c r="AA19" i="10"/>
  <c r="AA23" i="10" s="1"/>
  <c r="AA90" i="10" s="1"/>
  <c r="AA91" i="10" s="1"/>
  <c r="M16" i="9"/>
  <c r="M59" i="9" s="1"/>
  <c r="M63" i="9" s="1"/>
  <c r="L164" i="9"/>
  <c r="N62" i="9" l="1"/>
  <c r="O60" i="9"/>
  <c r="O62" i="9" s="1"/>
  <c r="N100" i="9"/>
  <c r="O100" i="9"/>
  <c r="L172" i="9"/>
  <c r="AD19" i="10"/>
  <c r="AD23" i="10" s="1"/>
  <c r="AD90" i="10" s="1"/>
  <c r="AF13" i="10"/>
  <c r="AF19" i="10" s="1"/>
  <c r="AF23" i="10" s="1"/>
  <c r="AF90" i="10" s="1"/>
  <c r="AF91" i="10" s="1"/>
  <c r="N16" i="9"/>
  <c r="N59" i="9" s="1"/>
  <c r="N63" i="9" s="1"/>
  <c r="M164" i="9"/>
  <c r="L165" i="9"/>
  <c r="L184" i="9"/>
  <c r="AD24" i="14"/>
  <c r="AC88" i="14"/>
  <c r="I169" i="9"/>
  <c r="J166" i="9"/>
  <c r="AC89" i="14" l="1"/>
  <c r="AD88" i="14"/>
  <c r="N164" i="9"/>
  <c r="K193" i="9" s="1"/>
  <c r="L193" i="9" s="1"/>
  <c r="O16" i="9"/>
  <c r="K166" i="9"/>
  <c r="J169" i="9"/>
  <c r="M172" i="9"/>
  <c r="N172" i="9" s="1"/>
  <c r="N174" i="9" s="1"/>
  <c r="O179" i="9"/>
  <c r="O180" i="9" s="1"/>
  <c r="L182" i="9"/>
  <c r="M165" i="9"/>
  <c r="M174" i="9"/>
  <c r="M175" i="9" s="1"/>
  <c r="M176" i="9" s="1"/>
  <c r="AG19" i="10"/>
  <c r="AG23" i="10" s="1"/>
  <c r="AG90" i="10" s="1"/>
  <c r="M179" i="9" s="1"/>
  <c r="AI13" i="10"/>
  <c r="AI19" i="10" s="1"/>
  <c r="AI23" i="10" s="1"/>
  <c r="AI90" i="10" s="1"/>
  <c r="AD91" i="10"/>
  <c r="O59" i="9" l="1"/>
  <c r="O63" i="9" s="1"/>
  <c r="O164" i="9" s="1"/>
  <c r="AI91" i="10"/>
  <c r="AG91" i="10"/>
  <c r="L166" i="9"/>
  <c r="K169" i="9"/>
  <c r="AJ19" i="10"/>
  <c r="AJ23" i="10" s="1"/>
  <c r="AJ90" i="10" s="1"/>
  <c r="AM94" i="10" s="1"/>
  <c r="AL19" i="10"/>
  <c r="AI101" i="14"/>
  <c r="AD89" i="14"/>
  <c r="N180" i="9"/>
  <c r="N181" i="9" s="1"/>
  <c r="N165" i="9"/>
  <c r="O171" i="9"/>
  <c r="O165" i="9" l="1"/>
  <c r="M193" i="9"/>
  <c r="AJ91" i="10"/>
  <c r="AL94" i="10"/>
  <c r="AL96" i="10" s="1"/>
  <c r="AM19" i="10"/>
  <c r="AO13" i="10"/>
  <c r="AZ13" i="10" s="1"/>
  <c r="AL23" i="10"/>
  <c r="L169" i="9"/>
  <c r="M166" i="9"/>
  <c r="N166" i="9" s="1"/>
  <c r="N167" i="9" s="1"/>
  <c r="AM23" i="10" l="1"/>
  <c r="AM90" i="10" s="1"/>
  <c r="M167" i="9"/>
  <c r="N168" i="9"/>
  <c r="N169" i="9" s="1"/>
  <c r="AL90" i="10"/>
  <c r="AZ19" i="10"/>
  <c r="AP13" i="10"/>
  <c r="AM95" i="10" l="1"/>
  <c r="AZ112" i="10"/>
  <c r="AZ94" i="10"/>
  <c r="AM91" i="10"/>
  <c r="AZ23" i="10"/>
  <c r="AP19" i="10"/>
  <c r="AL91" i="10"/>
  <c r="AP23" i="10" l="1"/>
  <c r="AP90" i="10" l="1"/>
  <c r="AO95" i="10"/>
  <c r="AZ90" i="10"/>
  <c r="AO91" i="10"/>
  <c r="AZ95" i="10"/>
  <c r="AZ91" i="10" l="1"/>
  <c r="C168" i="9"/>
  <c r="C169" i="9" s="1"/>
  <c r="D168" i="9"/>
  <c r="D169" i="9" s="1"/>
</calcChain>
</file>

<file path=xl/sharedStrings.xml><?xml version="1.0" encoding="utf-8"?>
<sst xmlns="http://schemas.openxmlformats.org/spreadsheetml/2006/main" count="539" uniqueCount="234">
  <si>
    <t xml:space="preserve">Deficit </t>
  </si>
  <si>
    <t>Costos de Funcionamiento Operativos AA</t>
  </si>
  <si>
    <t>Total Ingresos</t>
  </si>
  <si>
    <t>Diciembre</t>
  </si>
  <si>
    <t>Noviembre</t>
  </si>
  <si>
    <t>Julio</t>
  </si>
  <si>
    <t>Junio</t>
  </si>
  <si>
    <t>Disposición final</t>
  </si>
  <si>
    <t>Distribuccion Ac</t>
  </si>
  <si>
    <t>Potabilizacion Ac</t>
  </si>
  <si>
    <t>Captacion Ac</t>
  </si>
  <si>
    <t>Comercial Ac</t>
  </si>
  <si>
    <t>Generales/Administracion  Ac</t>
  </si>
  <si>
    <t>Subtotal Acueducto</t>
  </si>
  <si>
    <t>Recoleccion y transporte Alc</t>
  </si>
  <si>
    <t>Subtotal Alcantarillado</t>
  </si>
  <si>
    <t>Barrido vias</t>
  </si>
  <si>
    <t>Recolección y Transporte</t>
  </si>
  <si>
    <t>Servicios software INTEGRIN</t>
  </si>
  <si>
    <t>Arrendamiento oficina administrativa</t>
  </si>
  <si>
    <t>Suministro, recarga y mantenimiento de extintores de agua y polvo químico para las áreas operativas, administrativas y vehículos de la empresa</t>
  </si>
  <si>
    <t>Dotación de papelería y facturación</t>
  </si>
  <si>
    <t>Dotación de cafetería</t>
  </si>
  <si>
    <t>Fletes Marítimos y Terrestres</t>
  </si>
  <si>
    <t>Servicios personales de asesoría regulatoria, estudio de costos y tarifas</t>
  </si>
  <si>
    <t>Servicios personales - Seguridad y salud en el trabajo</t>
  </si>
  <si>
    <t>Servicios personales Comunicadora social</t>
  </si>
  <si>
    <t>Seguros y pólizas</t>
  </si>
  <si>
    <t>Almacenamiento virtual (nube)</t>
  </si>
  <si>
    <t>Arrendamiento contenedor</t>
  </si>
  <si>
    <t>celebración día del trabajo</t>
  </si>
  <si>
    <t>Servicios de vigilancia privada</t>
  </si>
  <si>
    <t>Mantenimiento y pintura de sede administrativa</t>
  </si>
  <si>
    <t>Suministros de alimentación, refrigerios e hidratación</t>
  </si>
  <si>
    <t>Otros gastos logísticos</t>
  </si>
  <si>
    <t xml:space="preserve">Personal Alc </t>
  </si>
  <si>
    <t>Personal Ac</t>
  </si>
  <si>
    <t>Servicios personales de outsourcing - asesoría contable y tributaria</t>
  </si>
  <si>
    <t>Revisoria fiscal 2SMLMV</t>
  </si>
  <si>
    <t>Agente Especial</t>
  </si>
  <si>
    <t>Enero</t>
  </si>
  <si>
    <t>Febrero</t>
  </si>
  <si>
    <t>Marzo</t>
  </si>
  <si>
    <t>Abril</t>
  </si>
  <si>
    <t>Mayo</t>
  </si>
  <si>
    <t>Agosto</t>
  </si>
  <si>
    <t>Sept</t>
  </si>
  <si>
    <t>Oct</t>
  </si>
  <si>
    <t>Acumulado</t>
  </si>
  <si>
    <t>Participacion %</t>
  </si>
  <si>
    <t>Concepto</t>
  </si>
  <si>
    <t xml:space="preserve">PROVIDENCE AND KETTLINA UTILITIES COMPANY SAS.            NIT.901352888-1                                                                    </t>
  </si>
  <si>
    <t>Costos de Funcionamiento Operativos Aseo</t>
  </si>
  <si>
    <t>Total Gastos Comerciales y de Administracion</t>
  </si>
  <si>
    <t>Nomina Administracion</t>
  </si>
  <si>
    <t>Nomina comercial</t>
  </si>
  <si>
    <t>Impuesto Industria y comercio 7X1000 Ingresos</t>
  </si>
  <si>
    <t xml:space="preserve">Generales/Administracion  </t>
  </si>
  <si>
    <t xml:space="preserve">Personal </t>
  </si>
  <si>
    <t xml:space="preserve"> </t>
  </si>
  <si>
    <t>Audiltor Interno</t>
  </si>
  <si>
    <t>Señalética</t>
  </si>
  <si>
    <t>Total Costos de Funcionamiento AAA</t>
  </si>
  <si>
    <t>Año 2023</t>
  </si>
  <si>
    <t>PRESUPUESTO DE FUNCIONAMIENTO AÑO 2023</t>
  </si>
  <si>
    <t>Dotación de uniformes para el personal, elementos de proteccion y bioseguridad  (pantalon , camisa, zapatos, impermeables, pantaneras, chalecos reflectivos)</t>
  </si>
  <si>
    <t>Aseo y Limpieza</t>
  </si>
  <si>
    <t xml:space="preserve">Otros gastos administrativos </t>
  </si>
  <si>
    <t xml:space="preserve">Gastos de viaje </t>
  </si>
  <si>
    <t>Capacitacion y bienestar social</t>
  </si>
  <si>
    <t xml:space="preserve">Alquiler de mulas y vehículos de transporte </t>
  </si>
  <si>
    <t xml:space="preserve">Licenciamiento software </t>
  </si>
  <si>
    <t>Servicios publicos (energia, telefono, aseo)</t>
  </si>
  <si>
    <t>Suscripción y afiliaciones</t>
  </si>
  <si>
    <t>Asesoria en contratacion</t>
  </si>
  <si>
    <t>Asesoria y argue sui</t>
  </si>
  <si>
    <t>Implementacion gestión documental</t>
  </si>
  <si>
    <t>Revison y acuañizacionmanuales corporativos y normograma</t>
  </si>
  <si>
    <t>Gastos legales: Cámara de comercio, notariales</t>
  </si>
  <si>
    <t>Actualizacion regulatoria</t>
  </si>
  <si>
    <t>Diseñador grafico actualizacion manual de identidad corporativa</t>
  </si>
  <si>
    <t>Profesional Financiero</t>
  </si>
  <si>
    <t>Psicologo</t>
  </si>
  <si>
    <t>Gastos de representacion</t>
  </si>
  <si>
    <t>Pagina WEB-Dominio actualizacion software</t>
  </si>
  <si>
    <t>Gastos bancarios</t>
  </si>
  <si>
    <t>Gravamen a los movimientos financieros</t>
  </si>
  <si>
    <t>Industria y comercio</t>
  </si>
  <si>
    <t>Contribuciones CRA</t>
  </si>
  <si>
    <t>Compra activos Equipo de computo (hardwaare, software), mobiliario oficina</t>
  </si>
  <si>
    <t>Compra Buldozer</t>
  </si>
  <si>
    <t>Compra barrido mecanico</t>
  </si>
  <si>
    <t>Plan de medios</t>
  </si>
  <si>
    <t>Recaudos</t>
  </si>
  <si>
    <t>Cargo fijo acueducto</t>
  </si>
  <si>
    <t>Cargo variable acueducto</t>
  </si>
  <si>
    <t>Ingresos por medidor acueducto</t>
  </si>
  <si>
    <t>Tarifa cargo variable Aseo</t>
  </si>
  <si>
    <t>Mutuo 194:   Planta desalinizadora Agua Dulce - RO 400</t>
  </si>
  <si>
    <t>Ejecucion</t>
  </si>
  <si>
    <t>Variacion</t>
  </si>
  <si>
    <t xml:space="preserve">Recuperacion cartera </t>
  </si>
  <si>
    <t>Presupuesto acumulado</t>
  </si>
  <si>
    <t>Ejecucion acumulada</t>
  </si>
  <si>
    <t>variacion acumulada</t>
  </si>
  <si>
    <t>Ejecucion Enero</t>
  </si>
  <si>
    <t>Ejecutado</t>
  </si>
  <si>
    <t>Ejecucion Febrero</t>
  </si>
  <si>
    <t>Camp-de sensi-y concient PUEAA (inc-materiales)</t>
  </si>
  <si>
    <t>Ejecucion Marzo</t>
  </si>
  <si>
    <t>Gastos legales: Cámara de comercio, notariales, ocre</t>
  </si>
  <si>
    <t>Ejecucion Abril</t>
  </si>
  <si>
    <t>Ejecucion Mayo</t>
  </si>
  <si>
    <t>Ingresos por medidor acueducto/acometidas</t>
  </si>
  <si>
    <t>Ejecucion Junio</t>
  </si>
  <si>
    <t>Ejecucion Julio</t>
  </si>
  <si>
    <t>Ejecucion agosto</t>
  </si>
  <si>
    <t>Ejecucion septiembre</t>
  </si>
  <si>
    <t>Ejecucion octubre</t>
  </si>
  <si>
    <t>Ejecucion noviembre</t>
  </si>
  <si>
    <t>Ejecucion diciembre</t>
  </si>
  <si>
    <t>Ingresos por conexiones nuevas</t>
  </si>
  <si>
    <t>Suspenciones y reconexiones</t>
  </si>
  <si>
    <t>Aseo</t>
  </si>
  <si>
    <t>Contratos Mutuos - Fondo Empresarial</t>
  </si>
  <si>
    <t>Construcción de pequeños tramos de acueducto - Vecinales</t>
  </si>
  <si>
    <t>Accesorios planta</t>
  </si>
  <si>
    <t>Filtros Generador Hipoclorito de Sodio</t>
  </si>
  <si>
    <t>Insumos químicos y reactivos (sal, AHC, polímero)</t>
  </si>
  <si>
    <t>Mantenimiento conectividad tanques</t>
  </si>
  <si>
    <t>Mantenimiento redes</t>
  </si>
  <si>
    <t>Accesorios acueducto</t>
  </si>
  <si>
    <t>Equipos trabajo confinado (rescate, ventilador)</t>
  </si>
  <si>
    <t>Mantenimiento Eléctrico y Mecánico para los sistemas de AAA</t>
  </si>
  <si>
    <t>Servicio público de aseo</t>
  </si>
  <si>
    <t>Combustible</t>
  </si>
  <si>
    <t xml:space="preserve">Elementos y artículos de ferretería, tornillería y jardinería Acu (60,6%)  Alc (1,5%) Aseo (37,9%), </t>
  </si>
  <si>
    <t>Implemento, herramientas y equipos de trabajo para la operación de acu, Alc y aseo  (70%) Acue (25%) Alc (5%)</t>
  </si>
  <si>
    <t>Prestación de servicio de maquinaria amarilla para el desarrollo de las actividades requeridas para la disposición de los residuos sólidos de acuerdo con las especificaciones y requerimientos técnicos establecidos por P&amp;K S.A.S E.S.P., en el sitio de disposición final blue Lizard – municipio de providencia y santa catalina islas.</t>
  </si>
  <si>
    <t>Servicio de mantenimiento predictivo, preventivo y correctivo de los vehículos tipo recolector-compactador de residuos sólidos de acuerdo con las especificaciones y requerimientos técnicos establecidos por P&amp;K SAS ESP  – municipio de providencia y santa catalina islas.</t>
  </si>
  <si>
    <t>Realizar la compra repuestos para mantenimientos preventivos del vehículo recolector-motocarro de acuerdo con las especificaciones y requerimientos técnicos establecidos por P&amp;K SAS ESP – en el municipio de providencia</t>
  </si>
  <si>
    <t>Prestación de servicios para la recolección y transporte marítimo de residuos sólidos ordinarios generados en la isla de santa catalina y disposición en puerto en la isla de providencia de acuerdo con las especificaciones y requerimientos técnicos establecidos por P&amp;K SAS ESP.</t>
  </si>
  <si>
    <t>Realizar la compra de las llantas para el camión recolector-compactador de acuerdo con las especificaciones y requerimientos técnicos establecidos por P&amp;K SAS ESP - el municipio de providencia</t>
  </si>
  <si>
    <t>Arrendamiento de espacio para ser utilizado como taller, para realizar mantenimiento de vehículos recolectores de acuerdo con las especificaciones y requerimientos técnicos establecidos por PYK SAS ESP - en el municipio de providencia y santa catalina islas (incluye área de bodegaje de materiales/equipos/herramientas).</t>
  </si>
  <si>
    <t>Compra de material térreo para la cobertura de residuos sólidos y el mantenimiento de la vía interna del sitio de disposición final, incluye el transporte y descargue en la zona designada de acuerdo con especificaciones y requerimientos técnicos establecidos por P&amp;K S.A.S E.S.P. – municipio de providencia y santa catalina islas.</t>
  </si>
  <si>
    <t>Comprar bolsas plásticas de color negro y blanco para el servicio de aseo de acuerdo con especificaciones y requerimientos técnicos establecidos por P&amp;K S.A.S E.S.P., para las actividades de barrido, limpieza de áreas públicas y limpieza de playas en el municipio de providencia y santa catalina islas.</t>
  </si>
  <si>
    <t>Compra de filtros para el camión compacto recolector – compactador según las especificaciones técnicas.</t>
  </si>
  <si>
    <t>Para la prestación del servicio de seguridad privada para la protección, el monitoreo y la seguridad de las instalaciones, infraestructura y bienes del sitio de disposición final “BLUE LIZARD” de acuerdo con las especificaciones técnicas dadas por P&amp;K S.A.S E.S.P – municipio de providencia y santa catalina islas (no incluye arma).</t>
  </si>
  <si>
    <t>Contratar el servicio de instalación, reposición y/o mantenimiento de cámaras de seguridad dentro del sitio de disposición final blue Lizard mediante cámaras de seguridad fijas de cableado.</t>
  </si>
  <si>
    <t>Mantenimiento, compra e instalación de reflectores y tendido eléctrico para mantener las condiciones de iluminación en el relleno sanitario blue Lizard, municipio de providencia y santa catalina islas (incluye instalación, de acuerdo con las especificaciones y requerimientos técnicos establecidos por P&amp;K SAS ESP.</t>
  </si>
  <si>
    <t>Prestación de servicios de fumigación para realizar el control de vectores y plagas dentro de las instalaciones del sitio de disposición final “BLUE LIZARD” de acuerdo con las especificaciones y requerimientos técnicos establecidos por P&amp;K S.A.S E.S.P., en el municipio de providencia y santa catalina islas.</t>
  </si>
  <si>
    <t>Contribuciones CRA-SUPER</t>
  </si>
  <si>
    <t>Transporte Agua potable</t>
  </si>
  <si>
    <t>Reforestacion</t>
  </si>
  <si>
    <t>Limpieza de cuencas</t>
  </si>
  <si>
    <t>Permiso de vertimiento (alcantarillado)</t>
  </si>
  <si>
    <t>Permiso de concesión de agua</t>
  </si>
  <si>
    <t>Vertimiento Acueducto, Tasa Retributiva</t>
  </si>
  <si>
    <t>Vertimientos Alcantarillado, Tasa retributivas</t>
  </si>
  <si>
    <t>Sanción Coralina ( Vertimiento Santa Catalina) y ( Relleno Sanitario)</t>
  </si>
  <si>
    <t>Otras compras y servicios</t>
  </si>
  <si>
    <t>Adquisición y /o reposición de equipos de seguridad y vigilancia (suministro, instalación, servicios)</t>
  </si>
  <si>
    <t>Dotación de cafetería, agua en botellon, hielo</t>
  </si>
  <si>
    <t>Capacitacion y bienestar social, botiquin</t>
  </si>
  <si>
    <t>Gastos comerciales</t>
  </si>
  <si>
    <t>Contraloria, Ocre</t>
  </si>
  <si>
    <t>Gastos de Administracion</t>
  </si>
  <si>
    <t>Gastos ambientales</t>
  </si>
  <si>
    <t>Total Gastos Comerciales, administracion y ambientales</t>
  </si>
  <si>
    <t>Recuperacion de cartera</t>
  </si>
  <si>
    <t xml:space="preserve">Servicio público </t>
  </si>
  <si>
    <t>Subsidios</t>
  </si>
  <si>
    <t>Contrato laboratorio (AAA) corregir distribucion</t>
  </si>
  <si>
    <t>Estudios compuerta Embalse Fresh Water Bay</t>
  </si>
  <si>
    <t>Sanción Coralina ( Vertimiento Santa Catalina) y ( Relleno Sanitario)/PMU</t>
  </si>
  <si>
    <t>Ejec</t>
  </si>
  <si>
    <t>PP pequeños tramos</t>
  </si>
  <si>
    <t>Articulos proteccion</t>
  </si>
  <si>
    <t>Compra Maq</t>
  </si>
  <si>
    <t>Psicologo-Bateria riesgo psicosocial</t>
  </si>
  <si>
    <t>Acueducto</t>
  </si>
  <si>
    <t>Alcantarillado</t>
  </si>
  <si>
    <t>Conexión</t>
  </si>
  <si>
    <t>Adecuaciones Ptap</t>
  </si>
  <si>
    <t>Material terreo</t>
  </si>
  <si>
    <t>Plan de sostenibilidad. Venta agua embotellada</t>
  </si>
  <si>
    <r>
      <t>Contrato obras civiles (</t>
    </r>
    <r>
      <rPr>
        <b/>
        <sz val="9"/>
        <rFont val="Calibri Light"/>
        <family val="2"/>
        <scheme val="major"/>
      </rPr>
      <t>2025</t>
    </r>
    <r>
      <rPr>
        <sz val="9"/>
        <rFont val="Calibri Light"/>
        <family val="2"/>
        <scheme val="major"/>
      </rPr>
      <t>)</t>
    </r>
  </si>
  <si>
    <t>Mantenimiento electromecanico</t>
  </si>
  <si>
    <t>Compra de activador biologico</t>
  </si>
  <si>
    <t>Deficit</t>
  </si>
  <si>
    <t>Ppto</t>
  </si>
  <si>
    <t>Telemetria</t>
  </si>
  <si>
    <t>Mantenimiento generador hipoclorito, energia</t>
  </si>
  <si>
    <t>Licenciamiento software /Pagina web</t>
  </si>
  <si>
    <t xml:space="preserve">Mantenimiento veh, </t>
  </si>
  <si>
    <t>Alquiler maq amarilla</t>
  </si>
  <si>
    <t>Tte</t>
  </si>
  <si>
    <t>Combustibles y lubricantes</t>
  </si>
  <si>
    <t>Mtto electromecanico</t>
  </si>
  <si>
    <t>Mtto generador de hipoclorito</t>
  </si>
  <si>
    <t>Laboratorio</t>
  </si>
  <si>
    <t>Dif</t>
  </si>
  <si>
    <t>Obra civil</t>
  </si>
  <si>
    <t>Servcios publicos</t>
  </si>
  <si>
    <t>Año 2026</t>
  </si>
  <si>
    <t>Energia</t>
  </si>
  <si>
    <t>Combustibles</t>
  </si>
  <si>
    <t>Permiso concesion de agua</t>
  </si>
  <si>
    <t>Arrendamiento compresor</t>
  </si>
  <si>
    <t>Calibracion medidores</t>
  </si>
  <si>
    <t>Tasa ut-aguas superficiales</t>
  </si>
  <si>
    <t>Mantenimiento PTAP</t>
  </si>
  <si>
    <t>Materiales</t>
  </si>
  <si>
    <t>Mantenimiento Electrico y Mecanico Sistema AS</t>
  </si>
  <si>
    <t>Tte materiales</t>
  </si>
  <si>
    <t>Honorarios</t>
  </si>
  <si>
    <t>Polizas</t>
  </si>
  <si>
    <t>Compa equipo de Vigilancia</t>
  </si>
  <si>
    <t>Tasa de vertimiento</t>
  </si>
  <si>
    <t>Tarjeta temporal ocre</t>
  </si>
  <si>
    <t>Arrendamiento oficina</t>
  </si>
  <si>
    <t xml:space="preserve">Mantenimiento </t>
  </si>
  <si>
    <t>Gestión documental</t>
  </si>
  <si>
    <t>Asesoria tarifaria</t>
  </si>
  <si>
    <t>Provisiones</t>
  </si>
  <si>
    <t>Gestion Cartera</t>
  </si>
  <si>
    <t>Gestion cartera</t>
  </si>
  <si>
    <t>Ferreteria</t>
  </si>
  <si>
    <t>EJECUCION PRESUPUESTO DE FUNCIONAMIENTO AÑO 2026</t>
  </si>
  <si>
    <t>Topografia</t>
  </si>
  <si>
    <t>Arrendamiento oficina administrativa-vehiculos</t>
  </si>
  <si>
    <t>Servicios Seguridad y salud en el trabajo-juridico</t>
  </si>
  <si>
    <t>Psicologo - Bateria psicosocial</t>
  </si>
  <si>
    <t>gestion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</si>
</sst>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_-;\-* #,##0_-;_-* &quot;-&quot;??_-;_-@_-"/>
    <numFmt numFmtId="168" formatCode="0.000"/>
    <numFmt numFmtId="169" formatCode="_-&quot;$&quot;\ * #,##0.00_-;\-&quot;$&quot;\ * #,##0.00_-;_-&quot;$&quot;\ * &quot;-&quot;_-;_-@_-"/>
    <numFmt numFmtId="170" formatCode="_-* #,##0.000_-;\-* #,##0.000_-;_-* &quot;-&quot;??_-;_-@_-"/>
    <numFmt numFmtId="171" formatCode="_-* #,##0.000_-;\-* #,##0.000_-;_-* &quot;-&quot;???_-;_-@_-"/>
    <numFmt numFmtId="172" formatCode="_-&quot;$&quot;\ * #,##0_-;\-&quot;$&quot;\ * #,##0_-;_-&quot;$&quot;\ * &quot;-&quot;??_-;_-@_-"/>
    <numFmt numFmtId="173" formatCode="[$-101240A]#,##0.00;\-#,##0.00"/>
    <numFmt numFmtId="174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ndara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9"/>
      <name val="Calibri Light"/>
      <family val="2"/>
      <scheme val="major"/>
    </font>
    <font>
      <b/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sz val="10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9"/>
      </patternFill>
    </fill>
    <fill>
      <patternFill patternType="solid">
        <fgColor rgb="FFFF99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98">
    <xf numFmtId="0" fontId="0" fillId="0" borderId="0" xfId="0"/>
    <xf numFmtId="0" fontId="4" fillId="0" borderId="0" xfId="0" applyFont="1"/>
    <xf numFmtId="167" fontId="0" fillId="0" borderId="0" xfId="0" applyNumberFormat="1"/>
    <xf numFmtId="164" fontId="0" fillId="0" borderId="0" xfId="0" applyNumberFormat="1"/>
    <xf numFmtId="167" fontId="6" fillId="0" borderId="2" xfId="1" applyNumberFormat="1" applyFont="1" applyFill="1" applyBorder="1"/>
    <xf numFmtId="0" fontId="0" fillId="0" borderId="6" xfId="0" applyBorder="1"/>
    <xf numFmtId="167" fontId="6" fillId="0" borderId="2" xfId="0" applyNumberFormat="1" applyFont="1" applyBorder="1"/>
    <xf numFmtId="167" fontId="2" fillId="2" borderId="2" xfId="0" applyNumberFormat="1" applyFont="1" applyFill="1" applyBorder="1"/>
    <xf numFmtId="167" fontId="2" fillId="2" borderId="2" xfId="1" applyNumberFormat="1" applyFont="1" applyFill="1" applyBorder="1"/>
    <xf numFmtId="167" fontId="2" fillId="2" borderId="9" xfId="0" applyNumberFormat="1" applyFont="1" applyFill="1" applyBorder="1"/>
    <xf numFmtId="167" fontId="9" fillId="0" borderId="2" xfId="1" applyNumberFormat="1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3" fillId="2" borderId="8" xfId="0" applyFont="1" applyFill="1" applyBorder="1" applyAlignment="1">
      <alignment horizontal="left" vertical="center"/>
    </xf>
    <xf numFmtId="166" fontId="8" fillId="0" borderId="0" xfId="3" applyFont="1" applyBorder="1" applyAlignment="1">
      <alignment horizontal="left"/>
    </xf>
    <xf numFmtId="167" fontId="2" fillId="2" borderId="2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justify" vertical="center" wrapText="1"/>
    </xf>
    <xf numFmtId="0" fontId="0" fillId="0" borderId="0" xfId="0" applyAlignment="1">
      <alignment vertical="center"/>
    </xf>
    <xf numFmtId="167" fontId="0" fillId="0" borderId="0" xfId="1" applyNumberFormat="1" applyFont="1"/>
    <xf numFmtId="0" fontId="0" fillId="0" borderId="6" xfId="0" applyBorder="1" applyAlignment="1">
      <alignment horizontal="justify" wrapText="1"/>
    </xf>
    <xf numFmtId="167" fontId="0" fillId="0" borderId="6" xfId="1" applyNumberFormat="1" applyFont="1" applyFill="1" applyBorder="1"/>
    <xf numFmtId="0" fontId="2" fillId="0" borderId="0" xfId="0" applyFont="1" applyAlignment="1">
      <alignment horizontal="center"/>
    </xf>
    <xf numFmtId="166" fontId="0" fillId="0" borderId="0" xfId="0" applyNumberFormat="1"/>
    <xf numFmtId="0" fontId="2" fillId="0" borderId="1" xfId="0" applyFont="1" applyBorder="1" applyAlignment="1">
      <alignment horizontal="center"/>
    </xf>
    <xf numFmtId="0" fontId="6" fillId="0" borderId="6" xfId="0" applyFont="1" applyBorder="1"/>
    <xf numFmtId="3" fontId="0" fillId="0" borderId="0" xfId="0" applyNumberFormat="1"/>
    <xf numFmtId="0" fontId="2" fillId="2" borderId="4" xfId="0" applyFont="1" applyFill="1" applyBorder="1" applyAlignment="1">
      <alignment horizontal="center" vertical="center" wrapText="1"/>
    </xf>
    <xf numFmtId="0" fontId="6" fillId="0" borderId="7" xfId="4" applyNumberFormat="1" applyFont="1" applyFill="1" applyBorder="1"/>
    <xf numFmtId="168" fontId="6" fillId="0" borderId="7" xfId="4" applyNumberFormat="1" applyFont="1" applyFill="1" applyBorder="1"/>
    <xf numFmtId="10" fontId="2" fillId="2" borderId="7" xfId="4" applyNumberFormat="1" applyFont="1" applyFill="1" applyBorder="1"/>
    <xf numFmtId="10" fontId="2" fillId="2" borderId="10" xfId="4" applyNumberFormat="1" applyFont="1" applyFill="1" applyBorder="1"/>
    <xf numFmtId="0" fontId="2" fillId="0" borderId="0" xfId="0" applyFont="1" applyAlignment="1">
      <alignment horizontal="justify" vertical="center" wrapText="1"/>
    </xf>
    <xf numFmtId="166" fontId="2" fillId="0" borderId="0" xfId="0" applyNumberFormat="1" applyFont="1"/>
    <xf numFmtId="167" fontId="2" fillId="0" borderId="0" xfId="0" applyNumberFormat="1" applyFont="1"/>
    <xf numFmtId="166" fontId="9" fillId="0" borderId="0" xfId="0" applyNumberFormat="1" applyFont="1"/>
    <xf numFmtId="167" fontId="0" fillId="0" borderId="0" xfId="1" applyNumberFormat="1" applyFont="1" applyFill="1"/>
    <xf numFmtId="166" fontId="6" fillId="0" borderId="0" xfId="0" applyNumberFormat="1" applyFont="1"/>
    <xf numFmtId="167" fontId="2" fillId="0" borderId="0" xfId="1" applyNumberFormat="1" applyFont="1" applyFill="1" applyBorder="1"/>
    <xf numFmtId="167" fontId="2" fillId="0" borderId="0" xfId="1" applyNumberFormat="1" applyFont="1" applyFill="1" applyBorder="1" applyAlignment="1">
      <alignment vertical="center"/>
    </xf>
    <xf numFmtId="167" fontId="5" fillId="0" borderId="0" xfId="0" applyNumberFormat="1" applyFont="1"/>
    <xf numFmtId="169" fontId="0" fillId="0" borderId="0" xfId="0" applyNumberFormat="1"/>
    <xf numFmtId="166" fontId="6" fillId="0" borderId="7" xfId="4" applyNumberFormat="1" applyFont="1" applyFill="1" applyBorder="1"/>
    <xf numFmtId="0" fontId="2" fillId="0" borderId="1" xfId="0" applyFont="1" applyBorder="1" applyAlignment="1">
      <alignment horizontal="center" vertical="center"/>
    </xf>
    <xf numFmtId="166" fontId="2" fillId="0" borderId="0" xfId="1" applyFont="1" applyFill="1" applyBorder="1"/>
    <xf numFmtId="167" fontId="6" fillId="4" borderId="2" xfId="1" applyNumberFormat="1" applyFont="1" applyFill="1" applyBorder="1"/>
    <xf numFmtId="10" fontId="0" fillId="0" borderId="0" xfId="0" applyNumberFormat="1"/>
    <xf numFmtId="167" fontId="2" fillId="0" borderId="2" xfId="1" applyNumberFormat="1" applyFont="1" applyFill="1" applyBorder="1"/>
    <xf numFmtId="170" fontId="2" fillId="0" borderId="0" xfId="0" applyNumberFormat="1" applyFont="1"/>
    <xf numFmtId="170" fontId="0" fillId="0" borderId="0" xfId="0" applyNumberFormat="1"/>
    <xf numFmtId="167" fontId="6" fillId="5" borderId="2" xfId="1" applyNumberFormat="1" applyFont="1" applyFill="1" applyBorder="1"/>
    <xf numFmtId="167" fontId="0" fillId="0" borderId="0" xfId="1" applyNumberFormat="1" applyFont="1" applyAlignment="1">
      <alignment horizontal="left" wrapText="1"/>
    </xf>
    <xf numFmtId="0" fontId="11" fillId="0" borderId="14" xfId="0" applyFont="1" applyBorder="1" applyAlignment="1">
      <alignment horizontal="justify" vertical="center" wrapText="1"/>
    </xf>
    <xf numFmtId="0" fontId="2" fillId="0" borderId="6" xfId="0" applyFont="1" applyBorder="1"/>
    <xf numFmtId="0" fontId="11" fillId="7" borderId="14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11" fillId="8" borderId="14" xfId="0" applyFont="1" applyFill="1" applyBorder="1" applyAlignment="1">
      <alignment horizontal="justify" vertical="center" wrapText="1"/>
    </xf>
    <xf numFmtId="0" fontId="13" fillId="0" borderId="14" xfId="0" applyFont="1" applyBorder="1" applyAlignment="1">
      <alignment wrapText="1"/>
    </xf>
    <xf numFmtId="0" fontId="11" fillId="3" borderId="14" xfId="0" applyFont="1" applyFill="1" applyBorder="1" applyAlignment="1">
      <alignment horizontal="justify" vertical="center" wrapText="1"/>
    </xf>
    <xf numFmtId="3" fontId="13" fillId="0" borderId="14" xfId="11" applyNumberFormat="1" applyFont="1" applyBorder="1" applyAlignment="1">
      <alignment vertical="center"/>
    </xf>
    <xf numFmtId="3" fontId="14" fillId="0" borderId="14" xfId="0" applyNumberFormat="1" applyFont="1" applyBorder="1" applyAlignment="1">
      <alignment vertical="center"/>
    </xf>
    <xf numFmtId="0" fontId="11" fillId="7" borderId="0" xfId="0" applyFont="1" applyFill="1" applyAlignment="1">
      <alignment horizontal="left" vertical="center" wrapText="1"/>
    </xf>
    <xf numFmtId="0" fontId="0" fillId="9" borderId="6" xfId="0" applyFill="1" applyBorder="1"/>
    <xf numFmtId="3" fontId="13" fillId="0" borderId="14" xfId="10" applyNumberFormat="1" applyFont="1" applyBorder="1" applyAlignment="1">
      <alignment vertical="center"/>
    </xf>
    <xf numFmtId="3" fontId="13" fillId="0" borderId="14" xfId="10" applyNumberFormat="1" applyFont="1" applyFill="1" applyBorder="1" applyAlignment="1">
      <alignment vertical="center"/>
    </xf>
    <xf numFmtId="3" fontId="14" fillId="0" borderId="14" xfId="10" applyNumberFormat="1" applyFont="1" applyBorder="1" applyAlignment="1">
      <alignment vertical="center"/>
    </xf>
    <xf numFmtId="3" fontId="14" fillId="0" borderId="14" xfId="10" applyNumberFormat="1" applyFont="1" applyBorder="1"/>
    <xf numFmtId="166" fontId="0" fillId="0" borderId="0" xfId="1" applyFont="1"/>
    <xf numFmtId="166" fontId="0" fillId="0" borderId="0" xfId="1" applyFont="1" applyAlignment="1">
      <alignment vertical="center"/>
    </xf>
    <xf numFmtId="0" fontId="15" fillId="0" borderId="6" xfId="0" applyFont="1" applyBorder="1"/>
    <xf numFmtId="0" fontId="15" fillId="0" borderId="6" xfId="0" applyFont="1" applyBorder="1" applyAlignment="1">
      <alignment horizontal="justify" wrapText="1"/>
    </xf>
    <xf numFmtId="0" fontId="0" fillId="9" borderId="6" xfId="0" applyFill="1" applyBorder="1" applyAlignment="1">
      <alignment horizontal="justify" wrapText="1"/>
    </xf>
    <xf numFmtId="10" fontId="4" fillId="0" borderId="0" xfId="1" applyNumberFormat="1" applyFont="1"/>
    <xf numFmtId="3" fontId="14" fillId="0" borderId="14" xfId="10" applyNumberFormat="1" applyFont="1" applyFill="1" applyBorder="1" applyAlignment="1">
      <alignment vertical="center"/>
    </xf>
    <xf numFmtId="167" fontId="6" fillId="11" borderId="2" xfId="1" applyNumberFormat="1" applyFont="1" applyFill="1" applyBorder="1"/>
    <xf numFmtId="0" fontId="16" fillId="2" borderId="5" xfId="0" applyFont="1" applyFill="1" applyBorder="1" applyAlignment="1">
      <alignment horizontal="justify" vertical="center" wrapText="1"/>
    </xf>
    <xf numFmtId="167" fontId="1" fillId="0" borderId="2" xfId="1" applyNumberFormat="1" applyFont="1" applyFill="1" applyBorder="1"/>
    <xf numFmtId="3" fontId="14" fillId="0" borderId="15" xfId="0" applyNumberFormat="1" applyFont="1" applyBorder="1"/>
    <xf numFmtId="3" fontId="13" fillId="0" borderId="14" xfId="11" applyNumberFormat="1" applyFont="1" applyFill="1" applyBorder="1" applyAlignment="1">
      <alignment vertical="center"/>
    </xf>
    <xf numFmtId="3" fontId="14" fillId="0" borderId="14" xfId="10" applyNumberFormat="1" applyFont="1" applyFill="1" applyBorder="1"/>
    <xf numFmtId="171" fontId="4" fillId="0" borderId="0" xfId="0" applyNumberFormat="1" applyFont="1"/>
    <xf numFmtId="167" fontId="6" fillId="12" borderId="2" xfId="1" applyNumberFormat="1" applyFont="1" applyFill="1" applyBorder="1"/>
    <xf numFmtId="3" fontId="13" fillId="12" borderId="14" xfId="10" applyNumberFormat="1" applyFont="1" applyFill="1" applyBorder="1" applyAlignment="1">
      <alignment vertical="center"/>
    </xf>
    <xf numFmtId="167" fontId="6" fillId="10" borderId="2" xfId="1" applyNumberFormat="1" applyFont="1" applyFill="1" applyBorder="1"/>
    <xf numFmtId="3" fontId="13" fillId="10" borderId="14" xfId="10" applyNumberFormat="1" applyFont="1" applyFill="1" applyBorder="1" applyAlignment="1">
      <alignment vertical="center"/>
    </xf>
    <xf numFmtId="3" fontId="14" fillId="10" borderId="14" xfId="10" applyNumberFormat="1" applyFont="1" applyFill="1" applyBorder="1" applyAlignment="1">
      <alignment vertical="center"/>
    </xf>
    <xf numFmtId="172" fontId="17" fillId="0" borderId="2" xfId="12" applyNumberFormat="1" applyFont="1" applyFill="1" applyBorder="1" applyAlignment="1">
      <alignment horizontal="left" vertical="center" indent="2"/>
    </xf>
    <xf numFmtId="167" fontId="6" fillId="2" borderId="2" xfId="1" applyNumberFormat="1" applyFont="1" applyFill="1" applyBorder="1"/>
    <xf numFmtId="3" fontId="14" fillId="2" borderId="14" xfId="10" applyNumberFormat="1" applyFont="1" applyFill="1" applyBorder="1" applyAlignment="1">
      <alignment vertical="center"/>
    </xf>
    <xf numFmtId="3" fontId="13" fillId="2" borderId="14" xfId="10" applyNumberFormat="1" applyFont="1" applyFill="1" applyBorder="1" applyAlignment="1">
      <alignment vertical="center"/>
    </xf>
    <xf numFmtId="3" fontId="13" fillId="2" borderId="14" xfId="11" applyNumberFormat="1" applyFont="1" applyFill="1" applyBorder="1" applyAlignment="1">
      <alignment vertical="center"/>
    </xf>
    <xf numFmtId="3" fontId="14" fillId="2" borderId="14" xfId="0" applyNumberFormat="1" applyFont="1" applyFill="1" applyBorder="1" applyAlignment="1">
      <alignment vertical="center"/>
    </xf>
    <xf numFmtId="167" fontId="6" fillId="13" borderId="2" xfId="1" applyNumberFormat="1" applyFont="1" applyFill="1" applyBorder="1"/>
    <xf numFmtId="165" fontId="0" fillId="0" borderId="0" xfId="0" applyNumberFormat="1"/>
    <xf numFmtId="167" fontId="18" fillId="0" borderId="0" xfId="0" applyNumberFormat="1" applyFont="1"/>
    <xf numFmtId="167" fontId="18" fillId="0" borderId="0" xfId="1" applyNumberFormat="1" applyFont="1"/>
    <xf numFmtId="167" fontId="18" fillId="12" borderId="0" xfId="0" applyNumberFormat="1" applyFont="1" applyFill="1"/>
    <xf numFmtId="167" fontId="18" fillId="10" borderId="0" xfId="0" applyNumberFormat="1" applyFont="1" applyFill="1"/>
    <xf numFmtId="0" fontId="18" fillId="0" borderId="0" xfId="0" applyFont="1"/>
    <xf numFmtId="167" fontId="18" fillId="0" borderId="0" xfId="1" applyNumberFormat="1" applyFont="1" applyFill="1"/>
    <xf numFmtId="3" fontId="13" fillId="10" borderId="14" xfId="11" applyNumberFormat="1" applyFont="1" applyFill="1" applyBorder="1" applyAlignment="1">
      <alignment vertical="center"/>
    </xf>
    <xf numFmtId="3" fontId="14" fillId="10" borderId="14" xfId="0" applyNumberFormat="1" applyFont="1" applyFill="1" applyBorder="1" applyAlignment="1">
      <alignment vertical="center"/>
    </xf>
    <xf numFmtId="3" fontId="13" fillId="14" borderId="14" xfId="10" applyNumberFormat="1" applyFont="1" applyFill="1" applyBorder="1" applyAlignment="1">
      <alignment vertical="center"/>
    </xf>
    <xf numFmtId="167" fontId="18" fillId="15" borderId="0" xfId="0" applyNumberFormat="1" applyFont="1" applyFill="1"/>
    <xf numFmtId="0" fontId="15" fillId="0" borderId="6" xfId="0" applyFont="1" applyBorder="1" applyAlignment="1">
      <alignment horizontal="left" wrapText="1"/>
    </xf>
    <xf numFmtId="3" fontId="14" fillId="12" borderId="14" xfId="10" applyNumberFormat="1" applyFont="1" applyFill="1" applyBorder="1" applyAlignment="1">
      <alignment vertical="center"/>
    </xf>
    <xf numFmtId="167" fontId="6" fillId="9" borderId="2" xfId="1" applyNumberFormat="1" applyFont="1" applyFill="1" applyBorder="1"/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justify" vertical="center" wrapText="1"/>
    </xf>
    <xf numFmtId="166" fontId="6" fillId="0" borderId="2" xfId="1" applyFont="1" applyFill="1" applyBorder="1"/>
    <xf numFmtId="167" fontId="2" fillId="0" borderId="0" xfId="0" applyNumberFormat="1" applyFont="1" applyAlignment="1">
      <alignment horizontal="justify" vertical="center" wrapText="1"/>
    </xf>
    <xf numFmtId="167" fontId="0" fillId="0" borderId="0" xfId="0" applyNumberFormat="1" applyAlignment="1">
      <alignment horizontal="center"/>
    </xf>
    <xf numFmtId="165" fontId="11" fillId="16" borderId="14" xfId="10" applyFont="1" applyFill="1" applyBorder="1" applyAlignment="1">
      <alignment vertical="center"/>
    </xf>
    <xf numFmtId="167" fontId="6" fillId="17" borderId="2" xfId="1" applyNumberFormat="1" applyFont="1" applyFill="1" applyBorder="1"/>
    <xf numFmtId="167" fontId="6" fillId="18" borderId="2" xfId="1" applyNumberFormat="1" applyFont="1" applyFill="1" applyBorder="1"/>
    <xf numFmtId="167" fontId="6" fillId="19" borderId="2" xfId="1" applyNumberFormat="1" applyFont="1" applyFill="1" applyBorder="1"/>
    <xf numFmtId="3" fontId="13" fillId="19" borderId="14" xfId="11" applyNumberFormat="1" applyFont="1" applyFill="1" applyBorder="1" applyAlignment="1">
      <alignment vertical="center"/>
    </xf>
    <xf numFmtId="167" fontId="6" fillId="20" borderId="2" xfId="1" applyNumberFormat="1" applyFont="1" applyFill="1" applyBorder="1"/>
    <xf numFmtId="167" fontId="6" fillId="6" borderId="2" xfId="1" applyNumberFormat="1" applyFont="1" applyFill="1" applyBorder="1"/>
    <xf numFmtId="3" fontId="13" fillId="18" borderId="14" xfId="10" applyNumberFormat="1" applyFont="1" applyFill="1" applyBorder="1" applyAlignment="1">
      <alignment vertical="center"/>
    </xf>
    <xf numFmtId="3" fontId="14" fillId="18" borderId="14" xfId="10" applyNumberFormat="1" applyFont="1" applyFill="1" applyBorder="1" applyAlignment="1">
      <alignment vertical="center"/>
    </xf>
    <xf numFmtId="3" fontId="14" fillId="18" borderId="14" xfId="10" applyNumberFormat="1" applyFont="1" applyFill="1" applyBorder="1"/>
    <xf numFmtId="3" fontId="14" fillId="18" borderId="15" xfId="0" applyNumberFormat="1" applyFont="1" applyFill="1" applyBorder="1"/>
    <xf numFmtId="167" fontId="6" fillId="21" borderId="2" xfId="1" applyNumberFormat="1" applyFont="1" applyFill="1" applyBorder="1"/>
    <xf numFmtId="3" fontId="13" fillId="5" borderId="14" xfId="10" applyNumberFormat="1" applyFont="1" applyFill="1" applyBorder="1" applyAlignment="1">
      <alignment vertical="center"/>
    </xf>
    <xf numFmtId="167" fontId="9" fillId="6" borderId="2" xfId="1" applyNumberFormat="1" applyFont="1" applyFill="1" applyBorder="1"/>
    <xf numFmtId="167" fontId="1" fillId="2" borderId="2" xfId="1" applyNumberFormat="1" applyFont="1" applyFill="1" applyBorder="1"/>
    <xf numFmtId="3" fontId="13" fillId="4" borderId="14" xfId="11" applyNumberFormat="1" applyFont="1" applyFill="1" applyBorder="1" applyAlignment="1">
      <alignment vertical="center"/>
    </xf>
    <xf numFmtId="167" fontId="6" fillId="22" borderId="2" xfId="1" applyNumberFormat="1" applyFont="1" applyFill="1" applyBorder="1"/>
    <xf numFmtId="166" fontId="0" fillId="0" borderId="0" xfId="1" applyFont="1" applyFill="1" applyBorder="1"/>
    <xf numFmtId="166" fontId="18" fillId="0" borderId="0" xfId="1" applyFont="1" applyFill="1" applyBorder="1"/>
    <xf numFmtId="173" fontId="19" fillId="0" borderId="0" xfId="0" applyNumberFormat="1" applyFont="1" applyAlignment="1">
      <alignment horizontal="right" vertical="center" wrapText="1" readingOrder="1"/>
    </xf>
    <xf numFmtId="174" fontId="0" fillId="0" borderId="0" xfId="0" applyNumberFormat="1"/>
    <xf numFmtId="167" fontId="6" fillId="23" borderId="2" xfId="1" applyNumberFormat="1" applyFont="1" applyFill="1" applyBorder="1"/>
    <xf numFmtId="3" fontId="13" fillId="23" borderId="14" xfId="10" applyNumberFormat="1" applyFont="1" applyFill="1" applyBorder="1" applyAlignment="1">
      <alignment vertical="center"/>
    </xf>
    <xf numFmtId="3" fontId="14" fillId="23" borderId="14" xfId="10" applyNumberFormat="1" applyFont="1" applyFill="1" applyBorder="1" applyAlignment="1">
      <alignment vertical="center"/>
    </xf>
    <xf numFmtId="167" fontId="18" fillId="17" borderId="0" xfId="0" applyNumberFormat="1" applyFont="1" applyFill="1"/>
    <xf numFmtId="167" fontId="6" fillId="24" borderId="16" xfId="1" applyNumberFormat="1" applyFont="1" applyFill="1" applyBorder="1"/>
    <xf numFmtId="167" fontId="18" fillId="24" borderId="0" xfId="0" applyNumberFormat="1" applyFont="1" applyFill="1"/>
    <xf numFmtId="167" fontId="6" fillId="24" borderId="0" xfId="1" applyNumberFormat="1" applyFont="1" applyFill="1" applyBorder="1"/>
    <xf numFmtId="167" fontId="18" fillId="17" borderId="0" xfId="1" applyNumberFormat="1" applyFont="1" applyFill="1"/>
    <xf numFmtId="167" fontId="16" fillId="17" borderId="0" xfId="1" applyNumberFormat="1" applyFont="1" applyFill="1"/>
    <xf numFmtId="167" fontId="6" fillId="25" borderId="2" xfId="1" applyNumberFormat="1" applyFont="1" applyFill="1" applyBorder="1"/>
    <xf numFmtId="3" fontId="13" fillId="25" borderId="14" xfId="11" applyNumberFormat="1" applyFont="1" applyFill="1" applyBorder="1" applyAlignment="1">
      <alignment vertical="center"/>
    </xf>
    <xf numFmtId="167" fontId="6" fillId="16" borderId="2" xfId="1" applyNumberFormat="1" applyFont="1" applyFill="1" applyBorder="1"/>
    <xf numFmtId="3" fontId="14" fillId="16" borderId="14" xfId="10" applyNumberFormat="1" applyFont="1" applyFill="1" applyBorder="1" applyAlignment="1">
      <alignment vertical="center"/>
    </xf>
    <xf numFmtId="3" fontId="13" fillId="16" borderId="14" xfId="10" applyNumberFormat="1" applyFont="1" applyFill="1" applyBorder="1" applyAlignment="1">
      <alignment vertical="center"/>
    </xf>
    <xf numFmtId="167" fontId="6" fillId="0" borderId="0" xfId="1" applyNumberFormat="1" applyFont="1" applyFill="1" applyBorder="1"/>
    <xf numFmtId="167" fontId="6" fillId="17" borderId="0" xfId="1" applyNumberFormat="1" applyFont="1" applyFill="1" applyBorder="1"/>
    <xf numFmtId="0" fontId="19" fillId="26" borderId="17" xfId="0" applyFont="1" applyFill="1" applyBorder="1" applyAlignment="1">
      <alignment horizontal="left" vertical="center" wrapText="1" readingOrder="1"/>
    </xf>
    <xf numFmtId="170" fontId="2" fillId="2" borderId="9" xfId="0" applyNumberFormat="1" applyFont="1" applyFill="1" applyBorder="1"/>
    <xf numFmtId="165" fontId="18" fillId="0" borderId="0" xfId="0" applyNumberFormat="1" applyFont="1"/>
    <xf numFmtId="173" fontId="19" fillId="26" borderId="17" xfId="0" applyNumberFormat="1" applyFont="1" applyFill="1" applyBorder="1" applyAlignment="1">
      <alignment horizontal="right" vertical="center" wrapText="1" readingOrder="1"/>
    </xf>
    <xf numFmtId="167" fontId="9" fillId="18" borderId="2" xfId="1" applyNumberFormat="1" applyFont="1" applyFill="1" applyBorder="1"/>
    <xf numFmtId="167" fontId="9" fillId="19" borderId="2" xfId="1" applyNumberFormat="1" applyFont="1" applyFill="1" applyBorder="1"/>
    <xf numFmtId="167" fontId="9" fillId="2" borderId="2" xfId="1" applyNumberFormat="1" applyFont="1" applyFill="1" applyBorder="1"/>
    <xf numFmtId="167" fontId="9" fillId="4" borderId="2" xfId="1" applyNumberFormat="1" applyFont="1" applyFill="1" applyBorder="1"/>
    <xf numFmtId="0" fontId="0" fillId="5" borderId="6" xfId="0" applyFill="1" applyBorder="1"/>
    <xf numFmtId="173" fontId="19" fillId="5" borderId="17" xfId="0" applyNumberFormat="1" applyFont="1" applyFill="1" applyBorder="1" applyAlignment="1">
      <alignment horizontal="right" vertical="center" wrapText="1" readingOrder="1"/>
    </xf>
    <xf numFmtId="3" fontId="13" fillId="9" borderId="14" xfId="10" applyNumberFormat="1" applyFont="1" applyFill="1" applyBorder="1" applyAlignment="1">
      <alignment vertical="center"/>
    </xf>
    <xf numFmtId="3" fontId="14" fillId="9" borderId="14" xfId="10" applyNumberFormat="1" applyFont="1" applyFill="1" applyBorder="1" applyAlignment="1">
      <alignment vertical="center"/>
    </xf>
    <xf numFmtId="3" fontId="14" fillId="9" borderId="15" xfId="0" applyNumberFormat="1" applyFont="1" applyFill="1" applyBorder="1"/>
    <xf numFmtId="0" fontId="11" fillId="5" borderId="14" xfId="0" applyFont="1" applyFill="1" applyBorder="1" applyAlignment="1">
      <alignment horizontal="justify" vertical="center" wrapText="1"/>
    </xf>
    <xf numFmtId="3" fontId="14" fillId="5" borderId="0" xfId="0" applyNumberFormat="1" applyFont="1" applyFill="1" applyAlignment="1">
      <alignment vertical="center"/>
    </xf>
    <xf numFmtId="173" fontId="19" fillId="13" borderId="17" xfId="0" applyNumberFormat="1" applyFont="1" applyFill="1" applyBorder="1" applyAlignment="1">
      <alignment horizontal="right" vertical="center" wrapText="1" readingOrder="1"/>
    </xf>
    <xf numFmtId="167" fontId="2" fillId="13" borderId="0" xfId="1" applyNumberFormat="1" applyFont="1" applyFill="1" applyBorder="1" applyAlignment="1">
      <alignment vertical="center"/>
    </xf>
    <xf numFmtId="167" fontId="6" fillId="10" borderId="0" xfId="1" applyNumberFormat="1" applyFont="1" applyFill="1" applyBorder="1"/>
    <xf numFmtId="167" fontId="6" fillId="21" borderId="0" xfId="1" applyNumberFormat="1" applyFont="1" applyFill="1" applyBorder="1"/>
    <xf numFmtId="167" fontId="6" fillId="25" borderId="0" xfId="1" applyNumberFormat="1" applyFont="1" applyFill="1" applyBorder="1"/>
    <xf numFmtId="173" fontId="19" fillId="26" borderId="0" xfId="0" applyNumberFormat="1" applyFont="1" applyFill="1" applyAlignment="1">
      <alignment horizontal="right" vertical="center" wrapText="1" readingOrder="1"/>
    </xf>
    <xf numFmtId="167" fontId="20" fillId="0" borderId="2" xfId="1" applyNumberFormat="1" applyFont="1" applyFill="1" applyBorder="1"/>
    <xf numFmtId="3" fontId="13" fillId="20" borderId="14" xfId="11" applyNumberFormat="1" applyFont="1" applyFill="1" applyBorder="1" applyAlignment="1">
      <alignment vertical="center"/>
    </xf>
    <xf numFmtId="167" fontId="6" fillId="20" borderId="0" xfId="1" applyNumberFormat="1" applyFont="1" applyFill="1" applyBorder="1"/>
    <xf numFmtId="3" fontId="14" fillId="20" borderId="14" xfId="10" applyNumberFormat="1" applyFont="1" applyFill="1" applyBorder="1"/>
    <xf numFmtId="3" fontId="14" fillId="20" borderId="14" xfId="10" applyNumberFormat="1" applyFont="1" applyFill="1" applyBorder="1" applyAlignment="1">
      <alignment vertical="center"/>
    </xf>
    <xf numFmtId="3" fontId="14" fillId="25" borderId="14" xfId="10" applyNumberFormat="1" applyFont="1" applyFill="1" applyBorder="1" applyAlignment="1">
      <alignment vertical="center"/>
    </xf>
    <xf numFmtId="3" fontId="14" fillId="25" borderId="15" xfId="0" applyNumberFormat="1" applyFont="1" applyFill="1" applyBorder="1"/>
    <xf numFmtId="3" fontId="14" fillId="2" borderId="0" xfId="0" applyNumberFormat="1" applyFont="1" applyFill="1" applyAlignment="1">
      <alignment vertical="center"/>
    </xf>
    <xf numFmtId="167" fontId="6" fillId="27" borderId="2" xfId="1" applyNumberFormat="1" applyFont="1" applyFill="1" applyBorder="1"/>
    <xf numFmtId="3" fontId="14" fillId="27" borderId="14" xfId="10" applyNumberFormat="1" applyFont="1" applyFill="1" applyBorder="1" applyAlignment="1">
      <alignment vertical="center"/>
    </xf>
    <xf numFmtId="3" fontId="14" fillId="27" borderId="15" xfId="0" applyNumberFormat="1" applyFont="1" applyFill="1" applyBorder="1"/>
    <xf numFmtId="3" fontId="13" fillId="27" borderId="14" xfId="10" applyNumberFormat="1" applyFont="1" applyFill="1" applyBorder="1" applyAlignment="1">
      <alignment vertical="center"/>
    </xf>
    <xf numFmtId="173" fontId="19" fillId="19" borderId="17" xfId="0" applyNumberFormat="1" applyFont="1" applyFill="1" applyBorder="1" applyAlignment="1">
      <alignment horizontal="right" vertical="center" wrapText="1" readingOrder="1"/>
    </xf>
    <xf numFmtId="3" fontId="14" fillId="4" borderId="14" xfId="10" applyNumberFormat="1" applyFont="1" applyFill="1" applyBorder="1" applyAlignment="1">
      <alignment vertical="center"/>
    </xf>
    <xf numFmtId="3" fontId="14" fillId="4" borderId="15" xfId="0" applyNumberFormat="1" applyFont="1" applyFill="1" applyBorder="1"/>
    <xf numFmtId="3" fontId="14" fillId="4" borderId="0" xfId="0" applyNumberFormat="1" applyFont="1" applyFill="1" applyAlignment="1">
      <alignment vertical="center"/>
    </xf>
    <xf numFmtId="43" fontId="0" fillId="0" borderId="0" xfId="0" applyNumberFormat="1"/>
    <xf numFmtId="166" fontId="0" fillId="4" borderId="0" xfId="1" applyFont="1" applyFill="1"/>
    <xf numFmtId="166" fontId="8" fillId="0" borderId="0" xfId="3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7" fontId="18" fillId="0" borderId="0" xfId="1" applyNumberFormat="1" applyFont="1" applyFill="1" applyAlignment="1">
      <alignment horizontal="left" wrapText="1"/>
    </xf>
  </cellXfs>
  <cellStyles count="13">
    <cellStyle name="Millares" xfId="1" builtinId="3"/>
    <cellStyle name="Millares 13" xfId="9" xr:uid="{F192DA75-91B2-469E-A361-3F8EC7C504C8}"/>
    <cellStyle name="Millares 17" xfId="8" xr:uid="{359C2981-905B-4E1E-AF6F-E0D1192CA49F}"/>
    <cellStyle name="Millares 2" xfId="5" xr:uid="{894E9143-984B-4210-B588-400529AC7FA3}"/>
    <cellStyle name="Millares 22" xfId="3" xr:uid="{5F630E82-B661-4D35-A9ED-3F08C2D85B46}"/>
    <cellStyle name="Millares 22 2" xfId="7" xr:uid="{E7BDD168-D8DB-42FB-94DE-F0DA41F99A18}"/>
    <cellStyle name="Moneda" xfId="10" builtinId="4"/>
    <cellStyle name="Moneda [0] 3" xfId="2" xr:uid="{F9B61FBC-3171-4D08-A43B-E17247AC1AD9}"/>
    <cellStyle name="Moneda [0] 3 2" xfId="6" xr:uid="{77E336C7-D0BC-45F9-B0B7-9285AB287D4B}"/>
    <cellStyle name="Moneda 6" xfId="11" xr:uid="{03B01CB7-AD74-4960-9EAE-FEAA26606DD5}"/>
    <cellStyle name="Moneda 7" xfId="12" xr:uid="{E36FC0E2-3A1E-472C-88D8-7DECAD23D7C4}"/>
    <cellStyle name="Normal" xfId="0" builtinId="0"/>
    <cellStyle name="Porcentaje" xfId="4" builtinId="5"/>
  </cellStyles>
  <dxfs count="0"/>
  <tableStyles count="0" defaultTableStyle="TableStyleMedium2" defaultPivotStyle="PivotStyleLight16"/>
  <colors>
    <mruColors>
      <color rgb="FFFF99CC"/>
      <color rgb="FF66FFFF"/>
      <color rgb="FFFFCCCC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calcChain" Target="calcChain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customXml" Target="../customXml/item3.xml"/><Relationship Id="rId47" Type="http://schemas.microsoft.com/office/2017/10/relationships/person" Target="persons/person5.xml"/><Relationship Id="rId63" Type="http://schemas.microsoft.com/office/2017/10/relationships/person" Target="persons/person0.xml"/><Relationship Id="rId68" Type="http://schemas.microsoft.com/office/2017/10/relationships/person" Target="persons/person33.xml"/><Relationship Id="rId50" Type="http://schemas.microsoft.com/office/2017/10/relationships/person" Target="persons/person23.xml"/><Relationship Id="rId55" Type="http://schemas.microsoft.com/office/2017/10/relationships/person" Target="persons/person22.xml"/><Relationship Id="rId76" Type="http://schemas.microsoft.com/office/2017/10/relationships/person" Target="persons/person41.xml"/><Relationship Id="rId84" Type="http://schemas.microsoft.com/office/2017/10/relationships/person" Target="persons/person45.xml"/><Relationship Id="rId89" Type="http://schemas.microsoft.com/office/2017/10/relationships/person" Target="persons/person1.xml"/><Relationship Id="rId7" Type="http://schemas.openxmlformats.org/officeDocument/2006/relationships/externalLink" Target="externalLinks/externalLink3.xml"/><Relationship Id="rId71" Type="http://schemas.microsoft.com/office/2017/10/relationships/person" Target="persons/person35.xml"/><Relationship Id="rId92" Type="http://schemas.microsoft.com/office/2017/10/relationships/person" Target="persons/person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45" Type="http://schemas.microsoft.com/office/2017/10/relationships/person" Target="persons/person17.xml"/><Relationship Id="rId53" Type="http://schemas.microsoft.com/office/2017/10/relationships/person" Target="persons/person16.xml"/><Relationship Id="rId58" Type="http://schemas.microsoft.com/office/2017/10/relationships/person" Target="persons/person26.xml"/><Relationship Id="rId66" Type="http://schemas.microsoft.com/office/2017/10/relationships/person" Target="persons/person32.xml"/><Relationship Id="rId74" Type="http://schemas.microsoft.com/office/2017/10/relationships/person" Target="persons/person42.xml"/><Relationship Id="rId79" Type="http://schemas.microsoft.com/office/2017/10/relationships/person" Target="persons/person46.xml"/><Relationship Id="rId87" Type="http://schemas.microsoft.com/office/2017/10/relationships/person" Target="persons/person40.xml"/><Relationship Id="rId5" Type="http://schemas.openxmlformats.org/officeDocument/2006/relationships/externalLink" Target="externalLinks/externalLink1.xml"/><Relationship Id="rId90" Type="http://schemas.microsoft.com/office/2017/10/relationships/person" Target="persons/person20.xml"/><Relationship Id="rId61" Type="http://schemas.microsoft.com/office/2017/10/relationships/person" Target="persons/person28.xml"/><Relationship Id="rId82" Type="http://schemas.microsoft.com/office/2017/10/relationships/person" Target="persons/person47.xml"/><Relationship Id="rId95" Type="http://schemas.microsoft.com/office/2017/10/relationships/person" Target="persons/person2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microsoft.com/office/2017/10/relationships/person" Target="persons/person9.xml"/><Relationship Id="rId69" Type="http://schemas.microsoft.com/office/2017/10/relationships/person" Target="persons/person4.xml"/><Relationship Id="rId77" Type="http://schemas.microsoft.com/office/2017/10/relationships/person" Target="persons/person51.xml"/><Relationship Id="rId64" Type="http://schemas.microsoft.com/office/2017/10/relationships/person" Target="persons/person31.xml"/><Relationship Id="rId56" Type="http://schemas.microsoft.com/office/2017/10/relationships/person" Target="persons/person29.xml"/><Relationship Id="rId48" Type="http://schemas.microsoft.com/office/2017/10/relationships/person" Target="persons/person11.xml"/><Relationship Id="rId8" Type="http://schemas.openxmlformats.org/officeDocument/2006/relationships/externalLink" Target="externalLinks/externalLink4.xml"/><Relationship Id="rId93" Type="http://schemas.microsoft.com/office/2017/10/relationships/person" Target="persons/person19.xml"/><Relationship Id="rId85" Type="http://schemas.microsoft.com/office/2017/10/relationships/person" Target="persons/person37.xml"/><Relationship Id="rId80" Type="http://schemas.microsoft.com/office/2017/10/relationships/person" Target="persons/person50.xml"/><Relationship Id="rId72" Type="http://schemas.microsoft.com/office/2017/10/relationships/person" Target="persons/person39.xml"/><Relationship Id="rId51" Type="http://schemas.microsoft.com/office/2017/10/relationships/person" Target="persons/person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sharedStrings" Target="sharedStrings.xml"/><Relationship Id="rId67" Type="http://schemas.microsoft.com/office/2017/10/relationships/person" Target="persons/person34.xml"/><Relationship Id="rId46" Type="http://schemas.microsoft.com/office/2017/10/relationships/person" Target="persons/person18.xml"/><Relationship Id="rId59" Type="http://schemas.microsoft.com/office/2017/10/relationships/person" Target="persons/person25.xml"/><Relationship Id="rId20" Type="http://schemas.openxmlformats.org/officeDocument/2006/relationships/externalLink" Target="externalLinks/externalLink16.xml"/><Relationship Id="rId41" Type="http://schemas.openxmlformats.org/officeDocument/2006/relationships/customXml" Target="../customXml/item2.xml"/><Relationship Id="rId91" Type="http://schemas.microsoft.com/office/2017/10/relationships/person" Target="persons/person12.xml"/><Relationship Id="rId88" Type="http://schemas.microsoft.com/office/2017/10/relationships/person" Target="persons/person3.xml"/><Relationship Id="rId83" Type="http://schemas.microsoft.com/office/2017/10/relationships/person" Target="persons/person.xml"/><Relationship Id="rId75" Type="http://schemas.microsoft.com/office/2017/10/relationships/person" Target="persons/person43.xml"/><Relationship Id="rId70" Type="http://schemas.microsoft.com/office/2017/10/relationships/person" Target="persons/person36.xml"/><Relationship Id="rId54" Type="http://schemas.microsoft.com/office/2017/10/relationships/person" Target="persons/person6.xml"/><Relationship Id="rId62" Type="http://schemas.microsoft.com/office/2017/10/relationships/person" Target="persons/person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theme" Target="theme/theme1.xml"/><Relationship Id="rId49" Type="http://schemas.microsoft.com/office/2017/10/relationships/person" Target="persons/person21.xml"/><Relationship Id="rId57" Type="http://schemas.microsoft.com/office/2017/10/relationships/person" Target="persons/person7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94" Type="http://schemas.microsoft.com/office/2017/10/relationships/person" Target="persons/person13.xml"/><Relationship Id="rId86" Type="http://schemas.microsoft.com/office/2017/10/relationships/person" Target="persons/person48.xml"/><Relationship Id="rId60" Type="http://schemas.microsoft.com/office/2017/10/relationships/person" Target="persons/person27.xml"/><Relationship Id="rId52" Type="http://schemas.microsoft.com/office/2017/10/relationships/person" Target="persons/person24.xml"/><Relationship Id="rId44" Type="http://schemas.microsoft.com/office/2017/10/relationships/person" Target="persons/person15.xml"/><Relationship Id="rId65" Type="http://schemas.microsoft.com/office/2017/10/relationships/person" Target="persons/person30.xml"/><Relationship Id="rId73" Type="http://schemas.microsoft.com/office/2017/10/relationships/person" Target="persons/person38.xml"/><Relationship Id="rId78" Type="http://schemas.microsoft.com/office/2017/10/relationships/person" Target="persons/person44.xml"/><Relationship Id="rId81" Type="http://schemas.microsoft.com/office/2017/10/relationships/person" Target="persons/person49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Marzo/Situacionfraint202303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rvidor\OneDrive%20-%20IDALMY%20YANETH%20PALACIOS%20HURTADO\YOSSARLY\MIS%20DOCUMENTOS\PYK\2023\Estadosfros\Febrero\Situacionfraint202302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Abril/Situacionfraint202304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Estadosfros/Mayo/Situacionfraint202305V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EjecucionPptalPasivaAb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EjecucionPptalPasivaMarz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Presupuesto/Presupuesto%20Pyk_2026%20Hoja%20de%20W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Presupuesto/1%20Presupuesto%20Pyk_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Ppto/Presupuesto_PyK_202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Junio/Estados%20financieros%202026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1%20Presupuesto%20Pyk_2025_Mod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(164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%20(57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1%20Presupuesto%20Pyk_202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3/Presupuesto/Presupuesto%20Pyk_2023_SSPD_Dic%2007%202023originalw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Ppto/0%20Presupuesto_PyK_2024_Def01-05-2024%20-%20copia%20Modificacion%202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Presupuesto/Anexo%20Deficit%20202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Estfros/Septiembre/EPpto%20202409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4/Contraloria/EjecucionPptalPasivaDic202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Enero/Control%20Fact%20Recaudo%20Cartera%202026%2001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Febrero/Control%20Fact%20Recaudo%20Cartera%202026%200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Marzo/Control%20Fact%20Recaudo%20Cartera%202026%200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Mayo/Control%20Fact%20Recaudo%20Cartera%202026%200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5/Estados%20financieros/Enero/Situacionfraint202501V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Febrero/Estados%20financieros%202026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Marzo/Estados%20financieros%202026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Abril/Estados%20financieros%20202604%20V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e\Downloads\EjecucionPptalPasiva(160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rvidor\Downloads\EjecucionPptalPasiva01%20(1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s%20financieros%202026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ontadora_idalmypalacios_onmicrosoft_com/Documents/YOSSARLY/MIS%20DOCUMENTOS/PYK/2026/Estados%20Fros/Junio/EPpto2026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E9">
            <v>79753908</v>
          </cell>
        </row>
        <row r="25">
          <cell r="E25">
            <v>3505299</v>
          </cell>
        </row>
        <row r="39">
          <cell r="E39">
            <v>99619862.420000002</v>
          </cell>
        </row>
        <row r="175">
          <cell r="C175">
            <v>20255574.109999999</v>
          </cell>
          <cell r="E175">
            <v>16382954.67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D9">
            <v>85695189.340000004</v>
          </cell>
        </row>
        <row r="24">
          <cell r="C24">
            <v>795185.72</v>
          </cell>
          <cell r="D24">
            <v>3544935.34</v>
          </cell>
        </row>
        <row r="25">
          <cell r="D25">
            <v>3491616</v>
          </cell>
        </row>
        <row r="39">
          <cell r="D39">
            <v>97961217.640000001</v>
          </cell>
        </row>
        <row r="55">
          <cell r="C55">
            <v>1277029.6400000001</v>
          </cell>
          <cell r="D55">
            <v>6860322.6399999997</v>
          </cell>
        </row>
        <row r="130">
          <cell r="C130">
            <v>349904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F9">
            <v>74716769.890000001</v>
          </cell>
        </row>
        <row r="25">
          <cell r="F25">
            <v>3643137</v>
          </cell>
        </row>
        <row r="39">
          <cell r="F39">
            <v>106508725.89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2022"/>
      <sheetName val="situacionfra2023comp"/>
      <sheetName val="Resultados2023Oegresos"/>
      <sheetName val="Resultados2023Oingresos"/>
      <sheetName val="Resultados2023gastos"/>
      <sheetName val="Resultados2023costos"/>
      <sheetName val="situacionfra2023"/>
      <sheetName val="Cambiosenelpatrimonio 2023"/>
      <sheetName val="Resultados2023"/>
      <sheetName val="Flujo de efectivo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C13">
            <v>401158426.21999997</v>
          </cell>
        </row>
      </sheetData>
      <sheetData sheetId="7"/>
      <sheetData sheetId="8"/>
      <sheetData sheetId="9"/>
      <sheetData sheetId="10" refreshError="1">
        <row r="9">
          <cell r="G9" t="str">
            <v>NUEVA EPS</v>
          </cell>
        </row>
        <row r="25">
          <cell r="G25" t="str">
            <v>NUEVA EPS</v>
          </cell>
        </row>
        <row r="39">
          <cell r="G39" t="str">
            <v>NUEVA EPS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203">
          <cell r="Q203">
            <v>600000</v>
          </cell>
        </row>
        <row r="228">
          <cell r="O228">
            <v>593000</v>
          </cell>
        </row>
        <row r="231">
          <cell r="O231">
            <v>634434</v>
          </cell>
        </row>
        <row r="234">
          <cell r="O234">
            <v>4758000</v>
          </cell>
        </row>
        <row r="275">
          <cell r="Q275">
            <v>118960</v>
          </cell>
        </row>
        <row r="276">
          <cell r="Q276">
            <v>794000</v>
          </cell>
        </row>
        <row r="281">
          <cell r="Q281">
            <v>5109000</v>
          </cell>
        </row>
        <row r="284">
          <cell r="Q284">
            <v>5451000</v>
          </cell>
        </row>
        <row r="285">
          <cell r="Q285">
            <v>703510</v>
          </cell>
        </row>
        <row r="289">
          <cell r="Q289">
            <v>8866000</v>
          </cell>
        </row>
        <row r="290">
          <cell r="Q290">
            <v>2429073</v>
          </cell>
        </row>
        <row r="294">
          <cell r="Q294">
            <v>1800000</v>
          </cell>
        </row>
        <row r="295">
          <cell r="Q295">
            <v>257345</v>
          </cell>
        </row>
        <row r="298">
          <cell r="Q298">
            <v>3478598</v>
          </cell>
        </row>
        <row r="398">
          <cell r="Q398">
            <v>705004</v>
          </cell>
        </row>
        <row r="399">
          <cell r="Q399">
            <v>1400000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231">
          <cell r="Q231">
            <v>1918811</v>
          </cell>
        </row>
        <row r="275">
          <cell r="Q275">
            <v>2067400</v>
          </cell>
        </row>
        <row r="276">
          <cell r="Q276">
            <v>794000</v>
          </cell>
        </row>
        <row r="278">
          <cell r="Q278">
            <v>602000</v>
          </cell>
        </row>
        <row r="279">
          <cell r="Q279">
            <v>2009690</v>
          </cell>
        </row>
        <row r="281">
          <cell r="Q281">
            <v>1080000</v>
          </cell>
        </row>
        <row r="282">
          <cell r="Q282">
            <v>2900000</v>
          </cell>
        </row>
        <row r="284">
          <cell r="Q284">
            <v>7994800</v>
          </cell>
        </row>
        <row r="285">
          <cell r="Q285">
            <v>610639</v>
          </cell>
        </row>
        <row r="287">
          <cell r="Q287">
            <v>1070000</v>
          </cell>
        </row>
        <row r="289">
          <cell r="Q289">
            <v>8866000</v>
          </cell>
        </row>
        <row r="290">
          <cell r="Q290">
            <v>2437120</v>
          </cell>
        </row>
        <row r="294">
          <cell r="Q294">
            <v>1800000</v>
          </cell>
        </row>
        <row r="295">
          <cell r="Q295">
            <v>257345</v>
          </cell>
        </row>
        <row r="398">
          <cell r="Q398">
            <v>1686820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Personal"/>
      <sheetName val="Adm"/>
      <sheetName val="Ccial"/>
      <sheetName val=" Fin"/>
      <sheetName val="AAA"/>
      <sheetName val="ProyAmb"/>
      <sheetName val="Ingresos"/>
    </sheetNames>
    <sheetDataSet>
      <sheetData sheetId="0">
        <row r="5">
          <cell r="G5">
            <v>805104720</v>
          </cell>
        </row>
        <row r="6">
          <cell r="G6">
            <v>1445419200</v>
          </cell>
        </row>
        <row r="7">
          <cell r="G7">
            <v>6975000</v>
          </cell>
        </row>
        <row r="8">
          <cell r="G8">
            <v>71800000</v>
          </cell>
        </row>
        <row r="10">
          <cell r="G10">
            <v>4380665706.6356983</v>
          </cell>
        </row>
        <row r="11">
          <cell r="Y11">
            <v>2295000</v>
          </cell>
        </row>
        <row r="12">
          <cell r="Y12">
            <v>3920000</v>
          </cell>
        </row>
        <row r="13">
          <cell r="Y13">
            <v>1790000</v>
          </cell>
        </row>
        <row r="14">
          <cell r="Y14">
            <v>2500000</v>
          </cell>
        </row>
        <row r="15">
          <cell r="Y15">
            <v>2625000</v>
          </cell>
        </row>
        <row r="16">
          <cell r="Y16">
            <v>3215000</v>
          </cell>
        </row>
        <row r="17">
          <cell r="Y17">
            <v>1855000</v>
          </cell>
        </row>
        <row r="18">
          <cell r="Y18">
            <v>17248171.199999999</v>
          </cell>
        </row>
        <row r="53">
          <cell r="H53">
            <v>967711968</v>
          </cell>
        </row>
        <row r="64">
          <cell r="H64">
            <v>51015178.440000013</v>
          </cell>
        </row>
        <row r="77">
          <cell r="H77">
            <v>1451607000</v>
          </cell>
        </row>
        <row r="79">
          <cell r="Y79">
            <v>800000</v>
          </cell>
        </row>
        <row r="81">
          <cell r="Y81">
            <v>2134000</v>
          </cell>
        </row>
        <row r="84">
          <cell r="Y84">
            <v>1400000</v>
          </cell>
        </row>
        <row r="86">
          <cell r="Y86">
            <v>11500000</v>
          </cell>
        </row>
        <row r="88">
          <cell r="Y88">
            <v>100000</v>
          </cell>
        </row>
        <row r="89">
          <cell r="Y89">
            <v>2000000</v>
          </cell>
        </row>
        <row r="90">
          <cell r="Y90">
            <v>100000</v>
          </cell>
        </row>
        <row r="91">
          <cell r="Y91">
            <v>2000000</v>
          </cell>
        </row>
        <row r="92">
          <cell r="Y92">
            <v>350000</v>
          </cell>
        </row>
        <row r="97">
          <cell r="Y97">
            <v>6000000</v>
          </cell>
        </row>
        <row r="108">
          <cell r="Y108">
            <v>20000000</v>
          </cell>
        </row>
        <row r="110">
          <cell r="Y110">
            <v>2600000</v>
          </cell>
        </row>
        <row r="111">
          <cell r="Y111">
            <v>280000</v>
          </cell>
        </row>
        <row r="112">
          <cell r="Y112">
            <v>100000</v>
          </cell>
        </row>
        <row r="113">
          <cell r="Y113">
            <v>150000</v>
          </cell>
        </row>
        <row r="114">
          <cell r="Y114">
            <v>1600000</v>
          </cell>
        </row>
        <row r="116">
          <cell r="Y116">
            <v>150000</v>
          </cell>
          <cell r="Z116">
            <v>150000</v>
          </cell>
        </row>
        <row r="117">
          <cell r="Y117">
            <v>10000000</v>
          </cell>
          <cell r="Z117">
            <v>10000000</v>
          </cell>
          <cell r="AA117">
            <v>10000000</v>
          </cell>
          <cell r="AB117">
            <v>10000000</v>
          </cell>
          <cell r="AC117">
            <v>10000000</v>
          </cell>
          <cell r="AD117">
            <v>10000000</v>
          </cell>
        </row>
        <row r="118">
          <cell r="Y118">
            <v>200000</v>
          </cell>
          <cell r="Z118">
            <v>200000</v>
          </cell>
          <cell r="AA118">
            <v>200000</v>
          </cell>
          <cell r="AB118">
            <v>200000</v>
          </cell>
          <cell r="AC118">
            <v>200000</v>
          </cell>
          <cell r="AD118">
            <v>200000</v>
          </cell>
        </row>
        <row r="119">
          <cell r="Y119">
            <v>150000</v>
          </cell>
          <cell r="Z119">
            <v>150000</v>
          </cell>
          <cell r="AA119">
            <v>150000</v>
          </cell>
          <cell r="AB119">
            <v>150000</v>
          </cell>
          <cell r="AC119">
            <v>150000</v>
          </cell>
          <cell r="AD119">
            <v>150000</v>
          </cell>
        </row>
        <row r="120">
          <cell r="Y120">
            <v>300000</v>
          </cell>
          <cell r="Z120">
            <v>300000</v>
          </cell>
          <cell r="AA120">
            <v>300000</v>
          </cell>
          <cell r="AB120">
            <v>300000</v>
          </cell>
          <cell r="AC120">
            <v>300000</v>
          </cell>
          <cell r="AD120">
            <v>300000</v>
          </cell>
        </row>
        <row r="121">
          <cell r="Y121">
            <v>150000</v>
          </cell>
        </row>
        <row r="122">
          <cell r="Y122">
            <v>1760000</v>
          </cell>
        </row>
        <row r="123">
          <cell r="Y123">
            <v>4600000</v>
          </cell>
        </row>
        <row r="124">
          <cell r="Y124">
            <v>2000000</v>
          </cell>
        </row>
        <row r="129">
          <cell r="Y129">
            <v>2750000</v>
          </cell>
        </row>
        <row r="130">
          <cell r="Y130">
            <v>2500000</v>
          </cell>
        </row>
        <row r="131">
          <cell r="Y131">
            <v>800000</v>
          </cell>
        </row>
        <row r="132">
          <cell r="Y132">
            <v>0</v>
          </cell>
        </row>
        <row r="133">
          <cell r="Y133">
            <v>4700000</v>
          </cell>
          <cell r="Z133">
            <v>4700000</v>
          </cell>
          <cell r="AA133">
            <v>4700000</v>
          </cell>
          <cell r="AB133">
            <v>4700000</v>
          </cell>
          <cell r="AC133">
            <v>4700000</v>
          </cell>
          <cell r="AD133">
            <v>4700000</v>
          </cell>
          <cell r="AE133">
            <v>4700000</v>
          </cell>
        </row>
        <row r="138">
          <cell r="Y138">
            <v>0</v>
          </cell>
        </row>
        <row r="141">
          <cell r="Y141">
            <v>40000000</v>
          </cell>
          <cell r="Z141">
            <v>40000000</v>
          </cell>
          <cell r="AA141">
            <v>40000000</v>
          </cell>
          <cell r="AB141">
            <v>40000000</v>
          </cell>
          <cell r="AC141">
            <v>40000000</v>
          </cell>
          <cell r="AD141">
            <v>40000000</v>
          </cell>
          <cell r="AE141">
            <v>40000000</v>
          </cell>
        </row>
        <row r="142">
          <cell r="Y142">
            <v>3800000</v>
          </cell>
          <cell r="Z142">
            <v>3800000</v>
          </cell>
          <cell r="AA142">
            <v>3800000</v>
          </cell>
          <cell r="AB142">
            <v>3800000</v>
          </cell>
          <cell r="AC142">
            <v>3800000</v>
          </cell>
          <cell r="AD142">
            <v>3800000</v>
          </cell>
          <cell r="AE142">
            <v>3800000</v>
          </cell>
        </row>
        <row r="143">
          <cell r="Y143">
            <v>7600000</v>
          </cell>
          <cell r="Z143">
            <v>7600000</v>
          </cell>
          <cell r="AA143">
            <v>7600000</v>
          </cell>
          <cell r="AB143">
            <v>7600000</v>
          </cell>
          <cell r="AC143">
            <v>7600000</v>
          </cell>
          <cell r="AD143">
            <v>7600000</v>
          </cell>
          <cell r="AE143">
            <v>7600000</v>
          </cell>
        </row>
        <row r="144">
          <cell r="Y144">
            <v>11850000</v>
          </cell>
          <cell r="Z144">
            <v>11850000</v>
          </cell>
          <cell r="AA144">
            <v>11850000</v>
          </cell>
          <cell r="AB144">
            <v>11850000</v>
          </cell>
          <cell r="AC144">
            <v>11850000</v>
          </cell>
          <cell r="AD144">
            <v>11850000</v>
          </cell>
        </row>
        <row r="152">
          <cell r="Y152">
            <v>2300000</v>
          </cell>
        </row>
        <row r="153">
          <cell r="Y153">
            <v>450000</v>
          </cell>
        </row>
        <row r="166">
          <cell r="Y166">
            <v>437569994.49185961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Personal"/>
      <sheetName val="Adm"/>
      <sheetName val="Ccial"/>
      <sheetName val=" Fin"/>
      <sheetName val="AAA"/>
      <sheetName val="ProyAmb"/>
      <sheetName val="Ingresos"/>
    </sheetNames>
    <sheetDataSet>
      <sheetData sheetId="0">
        <row r="5">
          <cell r="J5">
            <v>67092060</v>
          </cell>
        </row>
        <row r="6">
          <cell r="J6">
            <v>119170200</v>
          </cell>
        </row>
        <row r="7">
          <cell r="J7">
            <v>581250</v>
          </cell>
        </row>
        <row r="8">
          <cell r="J8">
            <v>3800000</v>
          </cell>
        </row>
        <row r="11">
          <cell r="J11">
            <v>2992500</v>
          </cell>
          <cell r="K11">
            <v>2992500</v>
          </cell>
          <cell r="L11">
            <v>2992500</v>
          </cell>
          <cell r="M11">
            <v>2992500</v>
          </cell>
          <cell r="N11">
            <v>2992500</v>
          </cell>
          <cell r="O11">
            <v>2992500</v>
          </cell>
        </row>
        <row r="12">
          <cell r="K12">
            <v>5110400</v>
          </cell>
          <cell r="L12">
            <v>5110400</v>
          </cell>
          <cell r="M12">
            <v>10220800</v>
          </cell>
          <cell r="N12">
            <v>5110400</v>
          </cell>
          <cell r="O12">
            <v>5110400</v>
          </cell>
        </row>
        <row r="13">
          <cell r="K13">
            <v>2820000</v>
          </cell>
          <cell r="L13">
            <v>2820000</v>
          </cell>
          <cell r="M13">
            <v>2820000</v>
          </cell>
          <cell r="N13">
            <v>2820000</v>
          </cell>
          <cell r="O13">
            <v>2820000</v>
          </cell>
        </row>
        <row r="14">
          <cell r="J14">
            <v>2500000</v>
          </cell>
          <cell r="K14">
            <v>2500000</v>
          </cell>
          <cell r="L14">
            <v>2500000</v>
          </cell>
          <cell r="M14">
            <v>2500000</v>
          </cell>
          <cell r="N14">
            <v>2500000</v>
          </cell>
          <cell r="O14">
            <v>2500000</v>
          </cell>
        </row>
        <row r="15">
          <cell r="J15">
            <v>4142000</v>
          </cell>
          <cell r="K15">
            <v>4142000</v>
          </cell>
          <cell r="L15">
            <v>4142000</v>
          </cell>
          <cell r="M15">
            <v>4142000</v>
          </cell>
          <cell r="N15">
            <v>4142000</v>
          </cell>
          <cell r="O15">
            <v>4142000</v>
          </cell>
        </row>
        <row r="16">
          <cell r="J16">
            <v>4120000</v>
          </cell>
          <cell r="K16">
            <v>4120000</v>
          </cell>
          <cell r="L16">
            <v>4120000</v>
          </cell>
          <cell r="M16">
            <v>4120000</v>
          </cell>
          <cell r="N16">
            <v>4120000</v>
          </cell>
          <cell r="O16">
            <v>4120000</v>
          </cell>
        </row>
        <row r="17">
          <cell r="J17">
            <v>2417300</v>
          </cell>
          <cell r="K17">
            <v>2417300</v>
          </cell>
          <cell r="L17">
            <v>2417300</v>
          </cell>
          <cell r="M17">
            <v>2417300</v>
          </cell>
          <cell r="N17">
            <v>2417300</v>
          </cell>
          <cell r="O17">
            <v>2417300</v>
          </cell>
        </row>
        <row r="18">
          <cell r="J18">
            <v>17248171.199999999</v>
          </cell>
          <cell r="K18">
            <v>17248171.199999999</v>
          </cell>
          <cell r="L18">
            <v>17248171.199999999</v>
          </cell>
          <cell r="M18">
            <v>17248171.199999999</v>
          </cell>
          <cell r="N18">
            <v>17248171.199999999</v>
          </cell>
          <cell r="O18">
            <v>17248171.199999999</v>
          </cell>
        </row>
        <row r="78">
          <cell r="K78">
            <v>1000000</v>
          </cell>
          <cell r="L78">
            <v>0</v>
          </cell>
          <cell r="M78">
            <v>1500000</v>
          </cell>
          <cell r="N78">
            <v>0</v>
          </cell>
          <cell r="O78">
            <v>1500000</v>
          </cell>
        </row>
        <row r="79">
          <cell r="M79">
            <v>2400000</v>
          </cell>
          <cell r="N79">
            <v>0</v>
          </cell>
          <cell r="O79">
            <v>0</v>
          </cell>
        </row>
        <row r="80">
          <cell r="L80">
            <v>400000</v>
          </cell>
          <cell r="M80">
            <v>0</v>
          </cell>
          <cell r="N80">
            <v>0</v>
          </cell>
          <cell r="O80">
            <v>2000000</v>
          </cell>
        </row>
        <row r="81">
          <cell r="J81">
            <v>2134000</v>
          </cell>
          <cell r="K81">
            <v>2134000</v>
          </cell>
          <cell r="L81">
            <v>2134000</v>
          </cell>
          <cell r="M81">
            <v>2134000</v>
          </cell>
          <cell r="N81">
            <v>2134000</v>
          </cell>
          <cell r="O81">
            <v>2134000</v>
          </cell>
        </row>
        <row r="82">
          <cell r="K82">
            <v>1200000</v>
          </cell>
          <cell r="L82">
            <v>950000</v>
          </cell>
          <cell r="M82">
            <v>0</v>
          </cell>
          <cell r="N82">
            <v>0</v>
          </cell>
        </row>
        <row r="83">
          <cell r="M83">
            <v>6500000</v>
          </cell>
        </row>
        <row r="84">
          <cell r="J84">
            <v>1400000</v>
          </cell>
          <cell r="K84">
            <v>1400000</v>
          </cell>
          <cell r="L84">
            <v>1430000</v>
          </cell>
          <cell r="M84">
            <v>1400000</v>
          </cell>
          <cell r="N84">
            <v>1400000</v>
          </cell>
          <cell r="O84">
            <v>1400000</v>
          </cell>
        </row>
        <row r="85">
          <cell r="J85">
            <v>25000000</v>
          </cell>
          <cell r="K85">
            <v>12000000</v>
          </cell>
          <cell r="L85">
            <v>10000000</v>
          </cell>
          <cell r="M85">
            <v>10000000</v>
          </cell>
          <cell r="N85">
            <v>10000000</v>
          </cell>
          <cell r="O85">
            <v>10000000</v>
          </cell>
        </row>
        <row r="86">
          <cell r="J86">
            <v>11500000</v>
          </cell>
          <cell r="K86">
            <v>11500000</v>
          </cell>
          <cell r="L86">
            <v>11500000</v>
          </cell>
          <cell r="M86">
            <v>11500000</v>
          </cell>
          <cell r="N86">
            <v>11500000</v>
          </cell>
          <cell r="O86">
            <v>11500000</v>
          </cell>
        </row>
        <row r="87">
          <cell r="K87">
            <v>800000</v>
          </cell>
          <cell r="M87">
            <v>800000</v>
          </cell>
          <cell r="N87">
            <v>800000</v>
          </cell>
          <cell r="O87">
            <v>800000</v>
          </cell>
        </row>
        <row r="88">
          <cell r="J88">
            <v>100000</v>
          </cell>
          <cell r="K88">
            <v>100000</v>
          </cell>
          <cell r="L88">
            <v>100000</v>
          </cell>
          <cell r="M88">
            <v>100000</v>
          </cell>
          <cell r="N88">
            <v>100000</v>
          </cell>
          <cell r="O88">
            <v>100000</v>
          </cell>
        </row>
        <row r="89">
          <cell r="J89">
            <v>2000000</v>
          </cell>
          <cell r="K89">
            <v>2000000</v>
          </cell>
          <cell r="L89">
            <v>2000000</v>
          </cell>
          <cell r="M89">
            <v>2000000</v>
          </cell>
          <cell r="N89">
            <v>2000000</v>
          </cell>
          <cell r="O89">
            <v>2000000</v>
          </cell>
        </row>
        <row r="90">
          <cell r="J90">
            <v>100000</v>
          </cell>
          <cell r="K90">
            <v>100000</v>
          </cell>
          <cell r="L90">
            <v>100000</v>
          </cell>
          <cell r="M90">
            <v>100000</v>
          </cell>
          <cell r="N90">
            <v>100000</v>
          </cell>
          <cell r="O90">
            <v>100000</v>
          </cell>
        </row>
        <row r="91">
          <cell r="J91">
            <v>2000000</v>
          </cell>
          <cell r="K91">
            <v>0</v>
          </cell>
        </row>
        <row r="92">
          <cell r="J92">
            <v>350000</v>
          </cell>
          <cell r="K92">
            <v>350000</v>
          </cell>
          <cell r="L92">
            <v>350000</v>
          </cell>
          <cell r="M92">
            <v>350000</v>
          </cell>
          <cell r="N92">
            <v>350000</v>
          </cell>
          <cell r="O92">
            <v>350000</v>
          </cell>
        </row>
        <row r="94">
          <cell r="N94">
            <v>600000</v>
          </cell>
          <cell r="O94">
            <v>0</v>
          </cell>
        </row>
        <row r="95">
          <cell r="L95">
            <v>3000000</v>
          </cell>
          <cell r="M95">
            <v>0</v>
          </cell>
          <cell r="N95">
            <v>0</v>
          </cell>
        </row>
        <row r="96">
          <cell r="K96">
            <v>5000000</v>
          </cell>
          <cell r="N96">
            <v>5000000</v>
          </cell>
        </row>
        <row r="97">
          <cell r="J97">
            <v>6000000</v>
          </cell>
          <cell r="K97">
            <v>6000000</v>
          </cell>
          <cell r="L97">
            <v>6000000</v>
          </cell>
          <cell r="M97">
            <v>6000000</v>
          </cell>
          <cell r="N97">
            <v>6000000</v>
          </cell>
          <cell r="O97">
            <v>6000000</v>
          </cell>
        </row>
        <row r="98">
          <cell r="J98">
            <v>6500000</v>
          </cell>
          <cell r="K98">
            <v>0</v>
          </cell>
          <cell r="L98">
            <v>6500000</v>
          </cell>
          <cell r="M98">
            <v>0</v>
          </cell>
          <cell r="N98">
            <v>6500000</v>
          </cell>
          <cell r="O98">
            <v>0</v>
          </cell>
        </row>
        <row r="99">
          <cell r="K99">
            <v>2500000</v>
          </cell>
          <cell r="L99">
            <v>2500000</v>
          </cell>
          <cell r="M99">
            <v>2500000</v>
          </cell>
          <cell r="N99">
            <v>2500000</v>
          </cell>
          <cell r="O99">
            <v>2500000</v>
          </cell>
        </row>
        <row r="100">
          <cell r="L100">
            <v>25000000</v>
          </cell>
          <cell r="M100">
            <v>0</v>
          </cell>
          <cell r="N100">
            <v>0</v>
          </cell>
        </row>
        <row r="101">
          <cell r="L101">
            <v>814000</v>
          </cell>
          <cell r="M101">
            <v>814000</v>
          </cell>
          <cell r="N101">
            <v>814000</v>
          </cell>
          <cell r="O101">
            <v>814000</v>
          </cell>
        </row>
        <row r="102">
          <cell r="L102">
            <v>1180000</v>
          </cell>
          <cell r="M102">
            <v>1180000</v>
          </cell>
          <cell r="N102">
            <v>1180000</v>
          </cell>
          <cell r="O102">
            <v>1180000</v>
          </cell>
        </row>
        <row r="103">
          <cell r="M103">
            <v>1000000</v>
          </cell>
          <cell r="N103">
            <v>2000000</v>
          </cell>
          <cell r="O103">
            <v>1000000</v>
          </cell>
        </row>
        <row r="104">
          <cell r="M104">
            <v>3000000</v>
          </cell>
          <cell r="N104">
            <v>0</v>
          </cell>
        </row>
        <row r="105">
          <cell r="L105">
            <v>25000000</v>
          </cell>
          <cell r="M105">
            <v>0</v>
          </cell>
          <cell r="N105">
            <v>0</v>
          </cell>
        </row>
        <row r="106">
          <cell r="K106">
            <v>780000</v>
          </cell>
          <cell r="L106">
            <v>780000</v>
          </cell>
          <cell r="M106">
            <v>780000</v>
          </cell>
          <cell r="N106">
            <v>780000</v>
          </cell>
          <cell r="O106">
            <v>780000</v>
          </cell>
        </row>
        <row r="107">
          <cell r="L107">
            <v>3000000</v>
          </cell>
          <cell r="M107">
            <v>0</v>
          </cell>
          <cell r="N107">
            <v>0</v>
          </cell>
          <cell r="O107">
            <v>0</v>
          </cell>
        </row>
        <row r="108">
          <cell r="J108">
            <v>20000000</v>
          </cell>
          <cell r="K108">
            <v>20000000</v>
          </cell>
          <cell r="L108">
            <v>20000000</v>
          </cell>
          <cell r="M108">
            <v>20000000</v>
          </cell>
          <cell r="N108">
            <v>20000000</v>
          </cell>
          <cell r="O108">
            <v>20000000</v>
          </cell>
        </row>
        <row r="109">
          <cell r="L109">
            <v>2400000</v>
          </cell>
          <cell r="M109">
            <v>0</v>
          </cell>
          <cell r="N109">
            <v>0</v>
          </cell>
          <cell r="O109">
            <v>0</v>
          </cell>
        </row>
        <row r="110">
          <cell r="J110">
            <v>2600000</v>
          </cell>
          <cell r="K110">
            <v>2600000</v>
          </cell>
          <cell r="L110">
            <v>2600000</v>
          </cell>
          <cell r="M110">
            <v>2600000</v>
          </cell>
          <cell r="N110">
            <v>2600000</v>
          </cell>
          <cell r="O110">
            <v>2600000</v>
          </cell>
        </row>
        <row r="111">
          <cell r="J111">
            <v>280000</v>
          </cell>
          <cell r="M111">
            <v>280000</v>
          </cell>
          <cell r="N111">
            <v>280000</v>
          </cell>
          <cell r="O111">
            <v>280000</v>
          </cell>
        </row>
        <row r="112">
          <cell r="J112">
            <v>100000</v>
          </cell>
          <cell r="M112">
            <v>100000</v>
          </cell>
          <cell r="N112">
            <v>100000</v>
          </cell>
          <cell r="O112">
            <v>100000</v>
          </cell>
        </row>
        <row r="113">
          <cell r="J113">
            <v>150000</v>
          </cell>
          <cell r="M113">
            <v>150000</v>
          </cell>
          <cell r="N113">
            <v>150000</v>
          </cell>
          <cell r="O113">
            <v>150000</v>
          </cell>
        </row>
        <row r="114">
          <cell r="J114">
            <v>1600000</v>
          </cell>
          <cell r="M114">
            <v>1600000</v>
          </cell>
          <cell r="N114">
            <v>1600000</v>
          </cell>
          <cell r="O114">
            <v>1600000</v>
          </cell>
        </row>
        <row r="115">
          <cell r="J115">
            <v>100000</v>
          </cell>
          <cell r="N115">
            <v>100000</v>
          </cell>
          <cell r="O115">
            <v>100000</v>
          </cell>
        </row>
        <row r="116">
          <cell r="J116">
            <v>150000</v>
          </cell>
          <cell r="K116">
            <v>150000</v>
          </cell>
          <cell r="N116">
            <v>150000</v>
          </cell>
          <cell r="O116">
            <v>150000</v>
          </cell>
        </row>
        <row r="117">
          <cell r="O117">
            <v>10000000</v>
          </cell>
        </row>
        <row r="118">
          <cell r="O118">
            <v>200000</v>
          </cell>
        </row>
        <row r="119">
          <cell r="O119">
            <v>150000</v>
          </cell>
        </row>
        <row r="120">
          <cell r="O120">
            <v>300000</v>
          </cell>
        </row>
        <row r="121">
          <cell r="J121">
            <v>150000</v>
          </cell>
          <cell r="O121">
            <v>150000</v>
          </cell>
        </row>
        <row r="122">
          <cell r="J122">
            <v>1760000</v>
          </cell>
          <cell r="K122">
            <v>1760000</v>
          </cell>
          <cell r="L122">
            <v>1760000</v>
          </cell>
          <cell r="M122">
            <v>1760000</v>
          </cell>
          <cell r="N122">
            <v>1760000</v>
          </cell>
          <cell r="O122">
            <v>1760000</v>
          </cell>
        </row>
        <row r="123">
          <cell r="J123">
            <v>4600000</v>
          </cell>
          <cell r="K123">
            <v>4600000</v>
          </cell>
          <cell r="L123">
            <v>4600000</v>
          </cell>
          <cell r="M123">
            <v>4600000</v>
          </cell>
          <cell r="N123">
            <v>4600000</v>
          </cell>
          <cell r="O123">
            <v>4600000</v>
          </cell>
        </row>
        <row r="124">
          <cell r="J124">
            <v>2000000</v>
          </cell>
          <cell r="L124">
            <v>2000000</v>
          </cell>
          <cell r="M124">
            <v>2000000</v>
          </cell>
          <cell r="N124">
            <v>2000000</v>
          </cell>
          <cell r="O124">
            <v>2000000</v>
          </cell>
        </row>
        <row r="125">
          <cell r="O125">
            <v>2800000</v>
          </cell>
        </row>
        <row r="126">
          <cell r="J126">
            <v>9000000</v>
          </cell>
          <cell r="K126">
            <v>0</v>
          </cell>
        </row>
        <row r="128">
          <cell r="J128">
            <v>18000000</v>
          </cell>
          <cell r="K128">
            <v>0</v>
          </cell>
        </row>
        <row r="129">
          <cell r="J129">
            <v>2750000</v>
          </cell>
          <cell r="K129">
            <v>2750000</v>
          </cell>
          <cell r="L129">
            <v>2750000</v>
          </cell>
          <cell r="M129">
            <v>2750000</v>
          </cell>
          <cell r="N129">
            <v>2750000</v>
          </cell>
          <cell r="O129">
            <v>2750000</v>
          </cell>
        </row>
        <row r="130">
          <cell r="J130">
            <v>2500000</v>
          </cell>
          <cell r="K130">
            <v>2500000</v>
          </cell>
          <cell r="L130">
            <v>2500000</v>
          </cell>
          <cell r="M130">
            <v>2500000</v>
          </cell>
          <cell r="N130">
            <v>2500000</v>
          </cell>
          <cell r="O130">
            <v>2500000</v>
          </cell>
        </row>
        <row r="131">
          <cell r="J131">
            <v>800000</v>
          </cell>
          <cell r="K131">
            <v>800000</v>
          </cell>
          <cell r="L131">
            <v>800000</v>
          </cell>
          <cell r="M131">
            <v>800000</v>
          </cell>
          <cell r="N131">
            <v>800000</v>
          </cell>
          <cell r="O131">
            <v>800000</v>
          </cell>
        </row>
        <row r="132">
          <cell r="L132">
            <v>2100000</v>
          </cell>
          <cell r="N132">
            <v>2100000</v>
          </cell>
          <cell r="O132">
            <v>2100000</v>
          </cell>
        </row>
        <row r="134">
          <cell r="M134">
            <v>0</v>
          </cell>
        </row>
        <row r="136">
          <cell r="J136">
            <v>2000000</v>
          </cell>
          <cell r="K136">
            <v>2000000</v>
          </cell>
          <cell r="L136">
            <v>2000000</v>
          </cell>
          <cell r="M136">
            <v>2000000</v>
          </cell>
          <cell r="N136">
            <v>2000000</v>
          </cell>
          <cell r="O136">
            <v>2000000</v>
          </cell>
        </row>
        <row r="137">
          <cell r="J137">
            <v>2000000</v>
          </cell>
          <cell r="K137">
            <v>2000000</v>
          </cell>
          <cell r="N137">
            <v>2000000</v>
          </cell>
          <cell r="O137">
            <v>2000000</v>
          </cell>
        </row>
        <row r="138">
          <cell r="M138">
            <v>30000000</v>
          </cell>
          <cell r="N138">
            <v>0</v>
          </cell>
          <cell r="O138">
            <v>20000000</v>
          </cell>
        </row>
        <row r="139">
          <cell r="K139">
            <v>30000000</v>
          </cell>
          <cell r="N139">
            <v>15000000</v>
          </cell>
          <cell r="O139">
            <v>0</v>
          </cell>
        </row>
        <row r="140">
          <cell r="K140">
            <v>5000000</v>
          </cell>
          <cell r="L140">
            <v>5000000</v>
          </cell>
          <cell r="N140">
            <v>0</v>
          </cell>
        </row>
        <row r="144">
          <cell r="O144">
            <v>11850000</v>
          </cell>
        </row>
        <row r="145">
          <cell r="O145">
            <v>400000</v>
          </cell>
        </row>
        <row r="146">
          <cell r="K146">
            <v>15000000</v>
          </cell>
          <cell r="N146">
            <v>10000000</v>
          </cell>
        </row>
        <row r="147">
          <cell r="N147">
            <v>5000000</v>
          </cell>
          <cell r="O147">
            <v>0</v>
          </cell>
        </row>
        <row r="148">
          <cell r="M148">
            <v>10000000</v>
          </cell>
          <cell r="N148">
            <v>0</v>
          </cell>
        </row>
        <row r="149">
          <cell r="K149">
            <v>10000000</v>
          </cell>
          <cell r="M149">
            <v>0</v>
          </cell>
        </row>
        <row r="151">
          <cell r="L151">
            <v>7000000</v>
          </cell>
          <cell r="M151">
            <v>7000000</v>
          </cell>
          <cell r="N151">
            <v>7000000</v>
          </cell>
          <cell r="O151">
            <v>7000000</v>
          </cell>
        </row>
        <row r="152">
          <cell r="J152">
            <v>3626000</v>
          </cell>
          <cell r="M152">
            <v>3626000</v>
          </cell>
          <cell r="N152">
            <v>3626000</v>
          </cell>
          <cell r="O152">
            <v>3626000</v>
          </cell>
        </row>
        <row r="153">
          <cell r="J153">
            <v>450000</v>
          </cell>
          <cell r="M153">
            <v>450000</v>
          </cell>
          <cell r="N153">
            <v>450000</v>
          </cell>
          <cell r="O153">
            <v>450000</v>
          </cell>
        </row>
        <row r="156">
          <cell r="K156">
            <v>30000000</v>
          </cell>
          <cell r="L156">
            <v>20000000</v>
          </cell>
          <cell r="M156">
            <v>20000000</v>
          </cell>
          <cell r="N156">
            <v>20000000</v>
          </cell>
          <cell r="O156">
            <v>20000000</v>
          </cell>
        </row>
        <row r="157">
          <cell r="L157">
            <v>5000000</v>
          </cell>
          <cell r="M157">
            <v>5000000</v>
          </cell>
          <cell r="N157">
            <v>0</v>
          </cell>
        </row>
        <row r="158">
          <cell r="K158">
            <v>33400000</v>
          </cell>
        </row>
        <row r="160">
          <cell r="N160">
            <v>6000000</v>
          </cell>
        </row>
        <row r="161">
          <cell r="M161">
            <v>8000000</v>
          </cell>
          <cell r="N161">
            <v>0</v>
          </cell>
        </row>
        <row r="162">
          <cell r="N162">
            <v>4000000</v>
          </cell>
          <cell r="O162">
            <v>0</v>
          </cell>
        </row>
        <row r="163">
          <cell r="L163">
            <v>150000000</v>
          </cell>
          <cell r="M163">
            <v>0</v>
          </cell>
          <cell r="N163">
            <v>0</v>
          </cell>
        </row>
        <row r="164">
          <cell r="M164">
            <v>4000000</v>
          </cell>
        </row>
        <row r="165">
          <cell r="K165">
            <v>2400000</v>
          </cell>
          <cell r="L165">
            <v>0</v>
          </cell>
          <cell r="M165">
            <v>2000000</v>
          </cell>
          <cell r="N165">
            <v>2000000</v>
          </cell>
          <cell r="O165">
            <v>2000000</v>
          </cell>
        </row>
        <row r="166">
          <cell r="I166">
            <v>437569994.49185961</v>
          </cell>
          <cell r="J166">
            <v>513370748.37671262</v>
          </cell>
          <cell r="K166">
            <v>603944748.37671256</v>
          </cell>
          <cell r="L166">
            <v>762324748.37671256</v>
          </cell>
          <cell r="N166">
            <v>560644748.37671256</v>
          </cell>
          <cell r="O166">
            <v>527744748.37671262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es"/>
      <sheetName val="Planeación 2024 P&amp;K Hoja de W"/>
      <sheetName val="Planeación 2024 P&amp;K"/>
      <sheetName val="Inver Estud Dis e Inter. "/>
      <sheetName val="Hoja1"/>
    </sheetNames>
    <sheetDataSet>
      <sheetData sheetId="0"/>
      <sheetData sheetId="1">
        <row r="10">
          <cell r="C10" t="str">
            <v>Cargo fijo alcantarillado</v>
          </cell>
        </row>
        <row r="11">
          <cell r="C11" t="str">
            <v>Cargo variable alcantarillado</v>
          </cell>
        </row>
      </sheetData>
      <sheetData sheetId="2"/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 refreshError="1"/>
      <sheetData sheetId="1" refreshError="1"/>
      <sheetData sheetId="2" refreshError="1"/>
      <sheetData sheetId="3">
        <row r="9">
          <cell r="H9">
            <v>79952341</v>
          </cell>
        </row>
        <row r="24">
          <cell r="H24">
            <v>572145</v>
          </cell>
        </row>
        <row r="27">
          <cell r="H27">
            <v>4262650</v>
          </cell>
        </row>
        <row r="41">
          <cell r="H41">
            <v>110076069</v>
          </cell>
        </row>
        <row r="59">
          <cell r="H59">
            <v>243658</v>
          </cell>
        </row>
        <row r="121">
          <cell r="H121">
            <v>48558791</v>
          </cell>
        </row>
      </sheetData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 2025 P&amp;K (def Mod1)"/>
    </sheetNames>
    <sheetDataSet>
      <sheetData sheetId="0">
        <row r="17">
          <cell r="L17">
            <v>20000000</v>
          </cell>
          <cell r="P17">
            <v>20000000</v>
          </cell>
          <cell r="T17">
            <v>20000000</v>
          </cell>
        </row>
        <row r="18">
          <cell r="L18">
            <v>7500000</v>
          </cell>
          <cell r="R18">
            <v>7500000</v>
          </cell>
          <cell r="T18">
            <v>0</v>
          </cell>
        </row>
        <row r="19">
          <cell r="L19">
            <v>2500000</v>
          </cell>
          <cell r="S19">
            <v>2500000</v>
          </cell>
          <cell r="T19">
            <v>0</v>
          </cell>
        </row>
        <row r="20">
          <cell r="P20">
            <v>20000000</v>
          </cell>
          <cell r="Q20"/>
          <cell r="R20">
            <v>20000000</v>
          </cell>
          <cell r="T20">
            <v>20000000</v>
          </cell>
        </row>
        <row r="21">
          <cell r="P21">
            <v>2200000</v>
          </cell>
          <cell r="Q21">
            <v>2200000</v>
          </cell>
          <cell r="R21">
            <v>2200000</v>
          </cell>
          <cell r="S21">
            <v>2200000</v>
          </cell>
          <cell r="T21">
            <v>2200000</v>
          </cell>
        </row>
        <row r="22">
          <cell r="Q22">
            <v>10000000</v>
          </cell>
        </row>
        <row r="23">
          <cell r="P23">
            <v>25000000</v>
          </cell>
          <cell r="R23">
            <v>25000000</v>
          </cell>
          <cell r="S23">
            <v>25000000</v>
          </cell>
          <cell r="T23">
            <v>25000000</v>
          </cell>
        </row>
        <row r="24">
          <cell r="P24">
            <v>6000000</v>
          </cell>
          <cell r="Q24">
            <v>6000000</v>
          </cell>
          <cell r="R24">
            <v>6000000</v>
          </cell>
          <cell r="S24">
            <v>6000000</v>
          </cell>
        </row>
        <row r="25">
          <cell r="L25">
            <v>3000000</v>
          </cell>
          <cell r="P25">
            <v>6000000</v>
          </cell>
          <cell r="R25">
            <v>6000000</v>
          </cell>
          <cell r="S25">
            <v>6000000</v>
          </cell>
          <cell r="T25">
            <v>6000000</v>
          </cell>
        </row>
        <row r="26">
          <cell r="P26">
            <v>40000000</v>
          </cell>
          <cell r="Q26">
            <v>40000000</v>
          </cell>
          <cell r="R26">
            <v>40000000</v>
          </cell>
          <cell r="S26">
            <v>40000000</v>
          </cell>
        </row>
        <row r="27">
          <cell r="O27">
            <v>6000000</v>
          </cell>
          <cell r="Q27">
            <v>6000000</v>
          </cell>
          <cell r="R27">
            <v>6000000</v>
          </cell>
          <cell r="T27">
            <v>6000000</v>
          </cell>
        </row>
        <row r="28">
          <cell r="O28">
            <v>12200000</v>
          </cell>
          <cell r="R28">
            <v>12200000</v>
          </cell>
          <cell r="T28">
            <v>12200000</v>
          </cell>
        </row>
        <row r="29">
          <cell r="R29">
            <v>18000000</v>
          </cell>
        </row>
        <row r="30">
          <cell r="O30">
            <v>1200000</v>
          </cell>
          <cell r="Q30">
            <v>1200000</v>
          </cell>
          <cell r="R30">
            <v>1200000</v>
          </cell>
          <cell r="T30">
            <v>1200000</v>
          </cell>
        </row>
        <row r="31">
          <cell r="M31">
            <v>25000000</v>
          </cell>
        </row>
        <row r="33">
          <cell r="L33">
            <v>6500000</v>
          </cell>
          <cell r="O33">
            <v>6500000</v>
          </cell>
          <cell r="Q33">
            <v>6500000</v>
          </cell>
          <cell r="R33">
            <v>6500000</v>
          </cell>
          <cell r="T33">
            <v>6500000</v>
          </cell>
        </row>
        <row r="34">
          <cell r="R34">
            <v>6000000</v>
          </cell>
        </row>
        <row r="35">
          <cell r="R35">
            <v>4000000</v>
          </cell>
        </row>
        <row r="39">
          <cell r="T39">
            <v>4000000</v>
          </cell>
        </row>
        <row r="40">
          <cell r="Q40">
            <v>350000000</v>
          </cell>
          <cell r="S40">
            <v>350000000</v>
          </cell>
        </row>
        <row r="41">
          <cell r="O41">
            <v>2000000</v>
          </cell>
          <cell r="Q41">
            <v>1600000</v>
          </cell>
        </row>
        <row r="42">
          <cell r="P42">
            <v>2847000</v>
          </cell>
          <cell r="Q42">
            <v>2847000</v>
          </cell>
          <cell r="R42">
            <v>2847000</v>
          </cell>
          <cell r="S42">
            <v>2847000</v>
          </cell>
        </row>
        <row r="43">
          <cell r="P43">
            <v>16411200</v>
          </cell>
          <cell r="Q43">
            <v>16411200</v>
          </cell>
          <cell r="R43">
            <v>16411200</v>
          </cell>
          <cell r="S43">
            <v>16411200</v>
          </cell>
        </row>
        <row r="44">
          <cell r="O44">
            <v>1400000</v>
          </cell>
          <cell r="P44">
            <v>0</v>
          </cell>
        </row>
        <row r="45">
          <cell r="O45">
            <v>120000</v>
          </cell>
        </row>
        <row r="46">
          <cell r="O46">
            <v>400000</v>
          </cell>
        </row>
        <row r="47">
          <cell r="O47">
            <v>6800000</v>
          </cell>
        </row>
        <row r="48">
          <cell r="O48">
            <v>3000000</v>
          </cell>
          <cell r="S48">
            <v>3000000</v>
          </cell>
        </row>
        <row r="49">
          <cell r="N49">
            <v>6500000</v>
          </cell>
          <cell r="O49">
            <v>0</v>
          </cell>
          <cell r="P49">
            <v>6500000</v>
          </cell>
          <cell r="T49">
            <v>6500000</v>
          </cell>
        </row>
        <row r="50">
          <cell r="R50">
            <v>5000000</v>
          </cell>
          <cell r="T50">
            <v>0</v>
          </cell>
        </row>
        <row r="51">
          <cell r="O51">
            <v>100000</v>
          </cell>
        </row>
        <row r="52">
          <cell r="O52">
            <v>5000000</v>
          </cell>
        </row>
        <row r="54">
          <cell r="R54">
            <v>12000000</v>
          </cell>
        </row>
        <row r="55">
          <cell r="O55">
            <v>12130000</v>
          </cell>
        </row>
        <row r="56">
          <cell r="L56">
            <v>3000000</v>
          </cell>
          <cell r="O56">
            <v>3000000</v>
          </cell>
          <cell r="P56">
            <v>3000000</v>
          </cell>
        </row>
        <row r="57">
          <cell r="P57">
            <v>30800000</v>
          </cell>
          <cell r="Q57">
            <v>0</v>
          </cell>
        </row>
        <row r="58">
          <cell r="O58">
            <v>1300000</v>
          </cell>
        </row>
        <row r="59">
          <cell r="O59">
            <v>10900000</v>
          </cell>
        </row>
        <row r="60">
          <cell r="O60">
            <v>7550000</v>
          </cell>
        </row>
        <row r="61">
          <cell r="N61">
            <v>1200000</v>
          </cell>
          <cell r="T61">
            <v>17000000</v>
          </cell>
        </row>
        <row r="62">
          <cell r="O62">
            <v>5850000</v>
          </cell>
        </row>
        <row r="63">
          <cell r="O63">
            <v>3987000</v>
          </cell>
        </row>
        <row r="67">
          <cell r="P67">
            <v>950000</v>
          </cell>
          <cell r="T67">
            <v>950000</v>
          </cell>
        </row>
        <row r="68">
          <cell r="P68">
            <v>800000</v>
          </cell>
        </row>
        <row r="69">
          <cell r="S69">
            <v>2400000</v>
          </cell>
          <cell r="T69">
            <v>0</v>
          </cell>
        </row>
        <row r="70">
          <cell r="O70">
            <v>2100000</v>
          </cell>
        </row>
        <row r="71">
          <cell r="O71">
            <v>280000</v>
          </cell>
        </row>
        <row r="72">
          <cell r="O72">
            <v>85000</v>
          </cell>
        </row>
        <row r="73">
          <cell r="O73">
            <v>180000</v>
          </cell>
        </row>
        <row r="74">
          <cell r="O74">
            <v>2000000</v>
          </cell>
        </row>
        <row r="76">
          <cell r="Q76">
            <v>7000000</v>
          </cell>
          <cell r="T76">
            <v>7000000</v>
          </cell>
        </row>
        <row r="77">
          <cell r="P77">
            <v>22000000</v>
          </cell>
          <cell r="Q77">
            <v>0</v>
          </cell>
          <cell r="S77">
            <v>22000000</v>
          </cell>
          <cell r="T77">
            <v>0</v>
          </cell>
        </row>
        <row r="90">
          <cell r="P90">
            <v>16000000</v>
          </cell>
          <cell r="Q90">
            <v>0</v>
          </cell>
        </row>
        <row r="91">
          <cell r="O91">
            <v>1500000</v>
          </cell>
        </row>
        <row r="92">
          <cell r="O92">
            <v>4600000</v>
          </cell>
        </row>
        <row r="93">
          <cell r="O93">
            <v>3500000</v>
          </cell>
        </row>
        <row r="94">
          <cell r="O94">
            <v>4750000</v>
          </cell>
        </row>
        <row r="95">
          <cell r="O95">
            <v>2000000</v>
          </cell>
        </row>
        <row r="96">
          <cell r="O96">
            <v>5800000</v>
          </cell>
        </row>
        <row r="147">
          <cell r="P147">
            <v>2750000</v>
          </cell>
        </row>
        <row r="148">
          <cell r="O148">
            <v>1500000</v>
          </cell>
        </row>
        <row r="149">
          <cell r="O149">
            <v>580000</v>
          </cell>
        </row>
        <row r="150">
          <cell r="N150">
            <v>81000</v>
          </cell>
          <cell r="R150">
            <v>81000</v>
          </cell>
          <cell r="S150">
            <v>81000</v>
          </cell>
        </row>
        <row r="151">
          <cell r="N151">
            <v>200000</v>
          </cell>
          <cell r="R151">
            <v>200000</v>
          </cell>
          <cell r="S151">
            <v>200000</v>
          </cell>
        </row>
        <row r="152">
          <cell r="N152">
            <v>13000000</v>
          </cell>
          <cell r="R152">
            <v>13000000</v>
          </cell>
          <cell r="S152">
            <v>13000000</v>
          </cell>
        </row>
        <row r="153">
          <cell r="P153">
            <v>81000</v>
          </cell>
          <cell r="R153">
            <v>81000</v>
          </cell>
          <cell r="T153">
            <v>81000</v>
          </cell>
        </row>
        <row r="154">
          <cell r="P154">
            <v>180000</v>
          </cell>
          <cell r="R154">
            <v>180000</v>
          </cell>
          <cell r="T154">
            <v>180000</v>
          </cell>
        </row>
        <row r="155">
          <cell r="P155">
            <v>350000</v>
          </cell>
          <cell r="R155">
            <v>350000</v>
          </cell>
          <cell r="T155">
            <v>350000</v>
          </cell>
        </row>
        <row r="156">
          <cell r="P156">
            <v>150000</v>
          </cell>
          <cell r="Q156">
            <v>150000</v>
          </cell>
          <cell r="R156">
            <v>150000</v>
          </cell>
          <cell r="T156">
            <v>150000</v>
          </cell>
        </row>
        <row r="160">
          <cell r="F160">
            <v>8532749985.6410627</v>
          </cell>
          <cell r="K160">
            <v>607062252.22008848</v>
          </cell>
          <cell r="N160">
            <v>848932252.22008848</v>
          </cell>
          <cell r="O160">
            <v>688888211.22008848</v>
          </cell>
          <cell r="R160">
            <v>585492252.22008848</v>
          </cell>
        </row>
        <row r="166">
          <cell r="S166">
            <v>778992252.2200886</v>
          </cell>
        </row>
        <row r="184">
          <cell r="N184">
            <v>848932252.22008848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52">
          <cell r="Q52">
            <v>2499500</v>
          </cell>
        </row>
        <row r="53">
          <cell r="Q53">
            <v>0</v>
          </cell>
        </row>
        <row r="55">
          <cell r="Q55">
            <v>0</v>
          </cell>
        </row>
        <row r="58">
          <cell r="Q58">
            <v>1213550</v>
          </cell>
        </row>
        <row r="62">
          <cell r="Q62">
            <v>5959767</v>
          </cell>
        </row>
        <row r="63">
          <cell r="Q63">
            <v>350000</v>
          </cell>
        </row>
        <row r="65">
          <cell r="Q65">
            <v>12100</v>
          </cell>
        </row>
        <row r="70">
          <cell r="Q70">
            <v>1465236</v>
          </cell>
        </row>
        <row r="75">
          <cell r="Q75">
            <v>17248171</v>
          </cell>
        </row>
        <row r="76">
          <cell r="Q76">
            <v>4811742</v>
          </cell>
        </row>
        <row r="78">
          <cell r="Q78">
            <v>2992500</v>
          </cell>
        </row>
        <row r="80">
          <cell r="Q80">
            <v>3245980</v>
          </cell>
        </row>
        <row r="82">
          <cell r="Q82">
            <v>423171</v>
          </cell>
        </row>
        <row r="86">
          <cell r="Q86">
            <v>4142000</v>
          </cell>
        </row>
        <row r="89">
          <cell r="Q89">
            <v>2033151</v>
          </cell>
        </row>
        <row r="219">
          <cell r="Q219">
            <v>7935000</v>
          </cell>
        </row>
        <row r="220">
          <cell r="Q220">
            <v>6329954</v>
          </cell>
        </row>
        <row r="221">
          <cell r="Q221">
            <v>4331103</v>
          </cell>
        </row>
        <row r="228">
          <cell r="Q228">
            <v>465000</v>
          </cell>
        </row>
        <row r="229">
          <cell r="Q229">
            <v>573312</v>
          </cell>
        </row>
        <row r="231">
          <cell r="Q231">
            <v>13520599</v>
          </cell>
        </row>
        <row r="233">
          <cell r="Q233">
            <v>1813000</v>
          </cell>
        </row>
        <row r="234">
          <cell r="Q234">
            <v>18879779</v>
          </cell>
        </row>
        <row r="241">
          <cell r="Q241">
            <v>7845000</v>
          </cell>
        </row>
        <row r="245">
          <cell r="Q245">
            <v>8721683</v>
          </cell>
        </row>
        <row r="246">
          <cell r="Q246">
            <v>1813000</v>
          </cell>
        </row>
        <row r="247">
          <cell r="Q247">
            <v>13172113</v>
          </cell>
        </row>
        <row r="261">
          <cell r="Q261">
            <v>15984675</v>
          </cell>
        </row>
        <row r="262">
          <cell r="Q262">
            <v>452320</v>
          </cell>
        </row>
        <row r="270">
          <cell r="Q270">
            <v>11340000</v>
          </cell>
        </row>
        <row r="272">
          <cell r="Q272">
            <v>1110300</v>
          </cell>
        </row>
        <row r="285">
          <cell r="Y285">
            <v>41.575994598034441</v>
          </cell>
        </row>
        <row r="316">
          <cell r="Q316">
            <v>197500</v>
          </cell>
        </row>
        <row r="322">
          <cell r="Q322">
            <v>1864000</v>
          </cell>
        </row>
        <row r="324">
          <cell r="Q324">
            <v>10400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1">
          <cell r="D11">
            <v>6709964627</v>
          </cell>
        </row>
        <row r="13">
          <cell r="D13">
            <v>417017933</v>
          </cell>
        </row>
        <row r="78">
          <cell r="D78">
            <v>43800000</v>
          </cell>
        </row>
        <row r="87">
          <cell r="D87">
            <v>91234000</v>
          </cell>
        </row>
        <row r="91">
          <cell r="D91">
            <v>3150000</v>
          </cell>
        </row>
        <row r="92">
          <cell r="D92">
            <v>3366000</v>
          </cell>
        </row>
        <row r="93">
          <cell r="D93">
            <v>5200000</v>
          </cell>
        </row>
        <row r="94">
          <cell r="D94">
            <v>7326000</v>
          </cell>
        </row>
        <row r="95">
          <cell r="D95">
            <v>3000000</v>
          </cell>
        </row>
        <row r="96">
          <cell r="D96">
            <v>7800000</v>
          </cell>
        </row>
        <row r="97">
          <cell r="D97">
            <v>10440000</v>
          </cell>
        </row>
        <row r="100">
          <cell r="D100">
            <v>11800000</v>
          </cell>
        </row>
        <row r="101">
          <cell r="D101">
            <v>24000000</v>
          </cell>
        </row>
        <row r="102">
          <cell r="D102">
            <v>1200000</v>
          </cell>
        </row>
        <row r="103">
          <cell r="D103">
            <v>4200000</v>
          </cell>
        </row>
        <row r="104">
          <cell r="D104">
            <v>1200000</v>
          </cell>
        </row>
        <row r="105">
          <cell r="D105">
            <v>20340000</v>
          </cell>
        </row>
        <row r="106">
          <cell r="D106">
            <v>21451200</v>
          </cell>
        </row>
        <row r="107">
          <cell r="D107">
            <v>3300000</v>
          </cell>
        </row>
        <row r="108">
          <cell r="D108">
            <v>8000000</v>
          </cell>
        </row>
        <row r="109">
          <cell r="D109">
            <v>9600000</v>
          </cell>
        </row>
        <row r="110">
          <cell r="D110">
            <v>1000000</v>
          </cell>
        </row>
        <row r="111">
          <cell r="D111">
            <v>121293120</v>
          </cell>
        </row>
        <row r="112">
          <cell r="D112">
            <v>10000000</v>
          </cell>
        </row>
        <row r="113">
          <cell r="D113">
            <v>30000000</v>
          </cell>
        </row>
        <row r="114">
          <cell r="D114">
            <v>206978054</v>
          </cell>
        </row>
        <row r="116">
          <cell r="D116">
            <v>98054800</v>
          </cell>
        </row>
        <row r="117">
          <cell r="D117">
            <v>35212500</v>
          </cell>
        </row>
        <row r="118">
          <cell r="D118">
            <v>13464000</v>
          </cell>
        </row>
        <row r="119">
          <cell r="D119">
            <v>25400000</v>
          </cell>
        </row>
        <row r="120">
          <cell r="D120">
            <v>2100000</v>
          </cell>
        </row>
        <row r="121">
          <cell r="D121">
            <v>20000000</v>
          </cell>
        </row>
        <row r="122">
          <cell r="D122">
            <v>48535000</v>
          </cell>
        </row>
        <row r="123">
          <cell r="D123">
            <v>16200000</v>
          </cell>
        </row>
        <row r="124">
          <cell r="D124">
            <v>73795000</v>
          </cell>
        </row>
        <row r="127">
          <cell r="D127">
            <v>33000000</v>
          </cell>
        </row>
        <row r="130">
          <cell r="D130">
            <v>7500000</v>
          </cell>
        </row>
        <row r="133">
          <cell r="D133">
            <v>3000000</v>
          </cell>
        </row>
        <row r="246">
          <cell r="D246">
            <v>10000000</v>
          </cell>
        </row>
        <row r="249">
          <cell r="D249">
            <v>150000000</v>
          </cell>
        </row>
        <row r="250">
          <cell r="D250">
            <v>4000000</v>
          </cell>
        </row>
        <row r="253">
          <cell r="D253">
            <v>13950000</v>
          </cell>
        </row>
        <row r="254">
          <cell r="D254">
            <v>8732550</v>
          </cell>
        </row>
        <row r="255">
          <cell r="D255">
            <v>25000000</v>
          </cell>
        </row>
        <row r="256">
          <cell r="D256">
            <v>110000000</v>
          </cell>
        </row>
        <row r="257">
          <cell r="D257">
            <v>33600000</v>
          </cell>
        </row>
        <row r="258">
          <cell r="D258">
            <v>1485000</v>
          </cell>
        </row>
        <row r="259">
          <cell r="D259">
            <v>465000</v>
          </cell>
        </row>
        <row r="260">
          <cell r="D260">
            <v>1500000</v>
          </cell>
        </row>
        <row r="261">
          <cell r="D261">
            <v>1746510</v>
          </cell>
        </row>
        <row r="262">
          <cell r="D262">
            <v>65100000</v>
          </cell>
        </row>
        <row r="263">
          <cell r="D263">
            <v>19281000</v>
          </cell>
        </row>
        <row r="264">
          <cell r="D264">
            <v>68500000</v>
          </cell>
        </row>
        <row r="265">
          <cell r="D265">
            <v>24451140</v>
          </cell>
        </row>
        <row r="266">
          <cell r="D266">
            <v>20000000</v>
          </cell>
        </row>
        <row r="267">
          <cell r="D267">
            <v>105440000</v>
          </cell>
        </row>
        <row r="268">
          <cell r="D268">
            <v>12000000</v>
          </cell>
        </row>
        <row r="271">
          <cell r="D271">
            <v>50800000</v>
          </cell>
        </row>
        <row r="273">
          <cell r="D273">
            <v>3163950</v>
          </cell>
        </row>
        <row r="274">
          <cell r="D274">
            <v>8000000</v>
          </cell>
        </row>
        <row r="275">
          <cell r="D275">
            <v>7739200</v>
          </cell>
        </row>
        <row r="276">
          <cell r="D276">
            <v>800000</v>
          </cell>
        </row>
        <row r="277">
          <cell r="D277">
            <v>1200000</v>
          </cell>
        </row>
        <row r="278">
          <cell r="D278">
            <v>120000000</v>
          </cell>
        </row>
        <row r="279">
          <cell r="D279">
            <v>8400000</v>
          </cell>
        </row>
        <row r="280">
          <cell r="D280">
            <v>56400000</v>
          </cell>
        </row>
        <row r="281">
          <cell r="D281">
            <v>15000000</v>
          </cell>
        </row>
        <row r="282">
          <cell r="D282">
            <v>18900000</v>
          </cell>
        </row>
        <row r="283">
          <cell r="D283">
            <v>18000000</v>
          </cell>
        </row>
        <row r="284">
          <cell r="D284">
            <v>4000000</v>
          </cell>
        </row>
        <row r="285">
          <cell r="D285">
            <v>632790</v>
          </cell>
        </row>
        <row r="286">
          <cell r="D286">
            <v>1800000</v>
          </cell>
        </row>
        <row r="287">
          <cell r="D287">
            <v>33400000</v>
          </cell>
        </row>
        <row r="289">
          <cell r="D289">
            <v>8859060</v>
          </cell>
        </row>
        <row r="290">
          <cell r="D290">
            <v>4929600</v>
          </cell>
        </row>
        <row r="291">
          <cell r="D291">
            <v>3600000</v>
          </cell>
        </row>
        <row r="292">
          <cell r="D292">
            <v>700000</v>
          </cell>
        </row>
        <row r="293">
          <cell r="D293">
            <v>3500000</v>
          </cell>
        </row>
        <row r="294">
          <cell r="D294">
            <v>50800000</v>
          </cell>
        </row>
        <row r="295">
          <cell r="D295">
            <v>10000000</v>
          </cell>
        </row>
        <row r="296">
          <cell r="D296">
            <v>9960000</v>
          </cell>
        </row>
        <row r="297">
          <cell r="D297">
            <v>45600000</v>
          </cell>
        </row>
        <row r="298">
          <cell r="D298">
            <v>91200000</v>
          </cell>
        </row>
        <row r="299">
          <cell r="D299">
            <v>6000000</v>
          </cell>
        </row>
        <row r="300">
          <cell r="D300">
            <v>142200000</v>
          </cell>
        </row>
        <row r="301">
          <cell r="D301">
            <v>480000000</v>
          </cell>
        </row>
        <row r="304">
          <cell r="D304">
            <v>30000000</v>
          </cell>
        </row>
        <row r="306">
          <cell r="D306">
            <v>12000000</v>
          </cell>
        </row>
        <row r="307">
          <cell r="D307">
            <v>7500000</v>
          </cell>
        </row>
        <row r="312">
          <cell r="D312">
            <v>39000000</v>
          </cell>
        </row>
        <row r="317">
          <cell r="D317">
            <v>246419894</v>
          </cell>
        </row>
        <row r="342">
          <cell r="D342">
            <v>1500000</v>
          </cell>
        </row>
        <row r="343">
          <cell r="D343">
            <v>2000000</v>
          </cell>
        </row>
        <row r="344">
          <cell r="D344">
            <v>2800000</v>
          </cell>
        </row>
        <row r="346">
          <cell r="D346">
            <v>3045000</v>
          </cell>
        </row>
        <row r="348">
          <cell r="D348">
            <v>18000000</v>
          </cell>
        </row>
        <row r="349">
          <cell r="D349">
            <v>29945300</v>
          </cell>
        </row>
        <row r="350">
          <cell r="D350">
            <v>600000</v>
          </cell>
        </row>
        <row r="351">
          <cell r="D351">
            <v>21120000</v>
          </cell>
        </row>
        <row r="352">
          <cell r="D352">
            <v>8000000</v>
          </cell>
        </row>
        <row r="353">
          <cell r="D353">
            <v>55200000</v>
          </cell>
        </row>
        <row r="354">
          <cell r="D354">
            <v>16706880</v>
          </cell>
        </row>
        <row r="355">
          <cell r="D355">
            <v>24000000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W (2)"/>
      <sheetName val="Hoja de W esta"/>
      <sheetName val="Ppto2025 P&amp;K Original"/>
    </sheetNames>
    <sheetDataSet>
      <sheetData sheetId="0"/>
      <sheetData sheetId="1">
        <row r="154">
          <cell r="K154">
            <v>150000</v>
          </cell>
          <cell r="L154">
            <v>150000</v>
          </cell>
          <cell r="M154">
            <v>150000</v>
          </cell>
          <cell r="N154">
            <v>150000</v>
          </cell>
          <cell r="O154">
            <v>150000</v>
          </cell>
          <cell r="P154">
            <v>150000</v>
          </cell>
        </row>
        <row r="157">
          <cell r="K157">
            <v>452832252.22008836</v>
          </cell>
        </row>
      </sheetData>
      <sheetData sheetId="2">
        <row r="25">
          <cell r="J25">
            <v>0</v>
          </cell>
        </row>
        <row r="48">
          <cell r="F48">
            <v>24000000</v>
          </cell>
        </row>
        <row r="157">
          <cell r="F157">
            <v>300000000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nna"/>
      <sheetName val="Resumen Dic 07"/>
      <sheetName val="Plan de inversiones P&amp;K"/>
      <sheetName val="Inversiones AFE"/>
    </sheetNames>
    <sheetDataSet>
      <sheetData sheetId="0">
        <row r="317">
          <cell r="X317">
            <v>0</v>
          </cell>
        </row>
        <row r="318">
          <cell r="W318">
            <v>0</v>
          </cell>
          <cell r="X318">
            <v>0</v>
          </cell>
          <cell r="Z318">
            <v>0</v>
          </cell>
        </row>
        <row r="342">
          <cell r="X342">
            <v>0</v>
          </cell>
          <cell r="Y342">
            <v>0</v>
          </cell>
        </row>
        <row r="348">
          <cell r="U348">
            <v>0</v>
          </cell>
          <cell r="V348">
            <v>0</v>
          </cell>
          <cell r="X348">
            <v>0</v>
          </cell>
          <cell r="Y348">
            <v>0</v>
          </cell>
          <cell r="Z348">
            <v>0</v>
          </cell>
        </row>
        <row r="363">
          <cell r="U363">
            <v>0</v>
          </cell>
          <cell r="Y363">
            <v>0</v>
          </cell>
          <cell r="Z363">
            <v>0</v>
          </cell>
        </row>
      </sheetData>
      <sheetData sheetId="1"/>
      <sheetData sheetId="2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ación 2024 P&amp;K (2)"/>
      <sheetName val="Planeación 2024 P&amp;K"/>
      <sheetName val="Hoja1"/>
    </sheetNames>
    <sheetDataSet>
      <sheetData sheetId="0"/>
      <sheetData sheetId="1">
        <row r="69">
          <cell r="U69">
            <v>0</v>
          </cell>
        </row>
      </sheetData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391">
          <cell r="E391">
            <v>752695959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2M"/>
      <sheetName val="202401anual"/>
      <sheetName val="2024Ej"/>
      <sheetName val="202301"/>
    </sheetNames>
    <sheetDataSet>
      <sheetData sheetId="0"/>
      <sheetData sheetId="1">
        <row r="147">
          <cell r="E147">
            <v>1825275149.2311568</v>
          </cell>
          <cell r="F147">
            <v>2271612247.0542092</v>
          </cell>
          <cell r="G147">
            <v>3020240251.7105951</v>
          </cell>
          <cell r="H147">
            <v>3751370656.366981</v>
          </cell>
          <cell r="I147">
            <v>4658391579.0233669</v>
          </cell>
          <cell r="J147">
            <v>5449407383.6833076</v>
          </cell>
          <cell r="K147">
            <v>7842356588.3432484</v>
          </cell>
        </row>
      </sheetData>
      <sheetData sheetId="2"/>
      <sheetData sheetId="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6">
          <cell r="K16">
            <v>7449706778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5"/>
      <sheetName val="Anexo"/>
    </sheetNames>
    <sheetDataSet>
      <sheetData sheetId="0"/>
      <sheetData sheetId="1">
        <row r="50">
          <cell r="B50">
            <v>61061046</v>
          </cell>
        </row>
        <row r="72">
          <cell r="O72">
            <v>59045307.100000001</v>
          </cell>
          <cell r="P72">
            <v>435361.75</v>
          </cell>
          <cell r="Q72">
            <v>65762640.00999999</v>
          </cell>
        </row>
        <row r="78">
          <cell r="O78">
            <v>4486559.6100000003</v>
          </cell>
          <cell r="P78">
            <v>0</v>
          </cell>
          <cell r="Q78">
            <v>3438413.2399999998</v>
          </cell>
        </row>
      </sheetData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5"/>
      <sheetName val="Anexo"/>
    </sheetNames>
    <sheetDataSet>
      <sheetData sheetId="0"/>
      <sheetData sheetId="1">
        <row r="52">
          <cell r="C52">
            <v>4244661.67</v>
          </cell>
        </row>
        <row r="72">
          <cell r="O72">
            <v>54965907.219999999</v>
          </cell>
          <cell r="P72">
            <v>702948.28</v>
          </cell>
          <cell r="Q72">
            <v>60706815.119999997</v>
          </cell>
        </row>
        <row r="78">
          <cell r="O78">
            <v>2439568.09</v>
          </cell>
          <cell r="Q78">
            <v>1639126.7</v>
          </cell>
        </row>
        <row r="94">
          <cell r="V94">
            <v>123205449</v>
          </cell>
        </row>
      </sheetData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6"/>
      <sheetName val="Anexo"/>
    </sheetNames>
    <sheetDataSet>
      <sheetData sheetId="0"/>
      <sheetData sheetId="1">
        <row r="46">
          <cell r="D46">
            <v>58685927.689999998</v>
          </cell>
        </row>
        <row r="47">
          <cell r="D47">
            <v>255536.31</v>
          </cell>
        </row>
        <row r="48">
          <cell r="D48">
            <v>70283053.579999983</v>
          </cell>
        </row>
      </sheetData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recaudocartera2025 (2)"/>
      <sheetName val="Factrecaudocartera2026"/>
      <sheetName val="Anexo"/>
    </sheetNames>
    <sheetDataSet>
      <sheetData sheetId="0"/>
      <sheetData sheetId="1">
        <row r="21">
          <cell r="N21">
            <v>413711391.68000001</v>
          </cell>
        </row>
        <row r="91">
          <cell r="P91">
            <v>331984.41000000003</v>
          </cell>
          <cell r="Q91">
            <v>76715750.909999996</v>
          </cell>
        </row>
      </sheetData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incentivo control"/>
      <sheetName val="conciliacion cartera"/>
      <sheetName val="situacionfra2024comp"/>
      <sheetName val="situacionfra"/>
      <sheetName val="Resultados"/>
      <sheetName val="Cambiosenelpatrimonio"/>
      <sheetName val="Flujo de efectivo"/>
    </sheetNames>
    <sheetDataSet>
      <sheetData sheetId="0"/>
      <sheetData sheetId="1"/>
      <sheetData sheetId="2"/>
      <sheetData sheetId="3"/>
      <sheetData sheetId="4">
        <row r="9">
          <cell r="C9">
            <v>73266237</v>
          </cell>
        </row>
        <row r="27">
          <cell r="C27">
            <v>2843992</v>
          </cell>
        </row>
        <row r="41">
          <cell r="C41">
            <v>110534499.42</v>
          </cell>
        </row>
        <row r="119">
          <cell r="C119">
            <v>43713929.009999998</v>
          </cell>
        </row>
      </sheetData>
      <sheetData sheetId="5"/>
      <sheetData sheetId="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  <sheetName val="situacionfra2024comp"/>
    </sheetNames>
    <sheetDataSet>
      <sheetData sheetId="0"/>
      <sheetData sheetId="1"/>
      <sheetData sheetId="2"/>
      <sheetData sheetId="3">
        <row r="9">
          <cell r="D9">
            <v>75018090</v>
          </cell>
        </row>
        <row r="26">
          <cell r="D26">
            <v>0</v>
          </cell>
        </row>
        <row r="27">
          <cell r="D27">
            <v>3805882</v>
          </cell>
        </row>
        <row r="41">
          <cell r="D41">
            <v>114058122</v>
          </cell>
        </row>
        <row r="59">
          <cell r="D59">
            <v>0</v>
          </cell>
        </row>
      </sheetData>
      <sheetData sheetId="4"/>
      <sheetData sheetId="5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/>
      <sheetData sheetId="1"/>
      <sheetData sheetId="2"/>
      <sheetData sheetId="3">
        <row r="9">
          <cell r="E9">
            <v>78746500</v>
          </cell>
        </row>
        <row r="27">
          <cell r="E27">
            <v>4222127</v>
          </cell>
        </row>
        <row r="41">
          <cell r="E41">
            <v>116362938</v>
          </cell>
        </row>
      </sheetData>
      <sheetData sheetId="4"/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/>
      <sheetData sheetId="1"/>
      <sheetData sheetId="2"/>
      <sheetData sheetId="3">
        <row r="27">
          <cell r="F27">
            <v>4303071</v>
          </cell>
        </row>
      </sheetData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57">
          <cell r="Q57">
            <v>295495</v>
          </cell>
        </row>
        <row r="61">
          <cell r="Q61">
            <v>270000</v>
          </cell>
        </row>
        <row r="64">
          <cell r="Q64">
            <v>4983700</v>
          </cell>
        </row>
        <row r="69">
          <cell r="Q69">
            <v>1087307</v>
          </cell>
        </row>
        <row r="74">
          <cell r="Q74">
            <v>17248171</v>
          </cell>
        </row>
        <row r="75">
          <cell r="Q75">
            <v>4029807</v>
          </cell>
        </row>
        <row r="76">
          <cell r="Q76">
            <v>7930400</v>
          </cell>
        </row>
        <row r="77">
          <cell r="Q77">
            <v>2992500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cucionPptalPasiva"/>
    </sheetNames>
    <sheetDataSet>
      <sheetData sheetId="0">
        <row r="11">
          <cell r="S11">
            <v>308530151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a notas"/>
      <sheetName val="situacionfra2026comp"/>
      <sheetName val="situacionfra"/>
      <sheetName val="Resultados"/>
      <sheetName val="Cambiosenelpatrimonio"/>
      <sheetName val="Flujo de efectivo"/>
    </sheetNames>
    <sheetDataSet>
      <sheetData sheetId="0"/>
      <sheetData sheetId="1"/>
      <sheetData sheetId="2"/>
      <sheetData sheetId="3">
        <row r="9">
          <cell r="I9">
            <v>77880919</v>
          </cell>
        </row>
        <row r="27">
          <cell r="I27">
            <v>4337446</v>
          </cell>
        </row>
        <row r="41">
          <cell r="I41">
            <v>112145629</v>
          </cell>
        </row>
      </sheetData>
      <sheetData sheetId="4"/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2M"/>
      <sheetName val="202501anual"/>
      <sheetName val="2026Ej"/>
      <sheetName val="202301"/>
    </sheetNames>
    <sheetDataSet>
      <sheetData sheetId="0"/>
      <sheetData sheetId="1">
        <row r="142">
          <cell r="E142">
            <v>2000000</v>
          </cell>
        </row>
      </sheetData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persons/person44.xml><?xml version="1.0" encoding="utf-8"?>
<personList xmlns="http://schemas.microsoft.com/office/spreadsheetml/2018/threadedcomments" xmlns:x="http://schemas.openxmlformats.org/spreadsheetml/2006/main"/>
</file>

<file path=xl/persons/person45.xml><?xml version="1.0" encoding="utf-8"?>
<personList xmlns="http://schemas.microsoft.com/office/spreadsheetml/2018/threadedcomments" xmlns:x="http://schemas.openxmlformats.org/spreadsheetml/2006/main"/>
</file>

<file path=xl/persons/person46.xml><?xml version="1.0" encoding="utf-8"?>
<personList xmlns="http://schemas.microsoft.com/office/spreadsheetml/2018/threadedcomments" xmlns:x="http://schemas.openxmlformats.org/spreadsheetml/2006/main"/>
</file>

<file path=xl/persons/person47.xml><?xml version="1.0" encoding="utf-8"?>
<personList xmlns="http://schemas.microsoft.com/office/spreadsheetml/2018/threadedcomments" xmlns:x="http://schemas.openxmlformats.org/spreadsheetml/2006/main"/>
</file>

<file path=xl/persons/person48.xml><?xml version="1.0" encoding="utf-8"?>
<personList xmlns="http://schemas.microsoft.com/office/spreadsheetml/2018/threadedcomments" xmlns:x="http://schemas.openxmlformats.org/spreadsheetml/2006/main"/>
</file>

<file path=xl/persons/person49.xml><?xml version="1.0" encoding="utf-8"?>
<personList xmlns="http://schemas.microsoft.com/office/spreadsheetml/2018/threadedcomments" xmlns:x="http://schemas.openxmlformats.org/spreadsheetml/2006/main"/>
</file>

<file path=xl/persons/person50.xml><?xml version="1.0" encoding="utf-8"?>
<personList xmlns="http://schemas.microsoft.com/office/spreadsheetml/2018/threadedcomments" xmlns:x="http://schemas.openxmlformats.org/spreadsheetml/2006/main"/>
</file>

<file path=xl/persons/person5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37CE-CB2C-46D3-B3DD-89A8F02A2D93}">
  <sheetPr>
    <tabColor rgb="FFFFC000"/>
  </sheetPr>
  <dimension ref="A1:AO104"/>
  <sheetViews>
    <sheetView showGridLines="0" zoomScale="86" zoomScaleNormal="86" workbookViewId="0">
      <pane xSplit="1" ySplit="5" topLeftCell="O24" activePane="bottomRight" state="frozen"/>
      <selection pane="topRight" activeCell="B1" sqref="B1"/>
      <selection pane="bottomLeft" activeCell="A5" sqref="A5"/>
      <selection pane="bottomRight" activeCell="P26" sqref="P26"/>
    </sheetView>
  </sheetViews>
  <sheetFormatPr baseColWidth="10" defaultColWidth="11.42578125" defaultRowHeight="15" x14ac:dyDescent="0.25"/>
  <cols>
    <col min="1" max="1" width="49.28515625" customWidth="1"/>
    <col min="2" max="2" width="17.28515625" bestFit="1" customWidth="1"/>
    <col min="3" max="3" width="15.5703125" bestFit="1" customWidth="1"/>
    <col min="4" max="8" width="15.5703125" customWidth="1"/>
    <col min="9" max="11" width="16.7109375" customWidth="1"/>
    <col min="12" max="20" width="16.140625" customWidth="1"/>
    <col min="21" max="21" width="16.140625" hidden="1" customWidth="1"/>
    <col min="22" max="25" width="16.7109375" hidden="1" customWidth="1"/>
    <col min="26" max="26" width="16.140625" hidden="1" customWidth="1"/>
    <col min="27" max="28" width="16.140625" customWidth="1"/>
    <col min="29" max="29" width="18.42578125" bestFit="1" customWidth="1"/>
    <col min="30" max="30" width="9.5703125" bestFit="1" customWidth="1"/>
    <col min="31" max="31" width="18.42578125" bestFit="1" customWidth="1"/>
    <col min="32" max="32" width="15.85546875" bestFit="1" customWidth="1"/>
    <col min="33" max="33" width="15.85546875" customWidth="1"/>
    <col min="34" max="34" width="15.5703125" customWidth="1"/>
    <col min="35" max="35" width="17.28515625" customWidth="1"/>
    <col min="36" max="36" width="18.42578125" customWidth="1"/>
    <col min="37" max="39" width="15.5703125" customWidth="1"/>
    <col min="40" max="41" width="14" customWidth="1"/>
    <col min="42" max="42" width="11.42578125" customWidth="1"/>
  </cols>
  <sheetData>
    <row r="1" spans="1:41" x14ac:dyDescent="0.25">
      <c r="A1" s="189" t="s">
        <v>51</v>
      </c>
      <c r="B1" s="189"/>
      <c r="C1" s="189"/>
      <c r="D1" s="14"/>
      <c r="E1" s="14"/>
    </row>
    <row r="2" spans="1:41" x14ac:dyDescent="0.25">
      <c r="A2" s="14"/>
      <c r="B2" s="14"/>
      <c r="C2" s="14"/>
      <c r="D2" s="14"/>
      <c r="E2" s="14"/>
    </row>
    <row r="3" spans="1:41" ht="15.75" thickBot="1" x14ac:dyDescent="0.3">
      <c r="A3" s="190" t="s">
        <v>64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23"/>
      <c r="AF3" s="23"/>
      <c r="AG3" s="23"/>
    </row>
    <row r="4" spans="1:41" ht="15.75" thickBot="1" x14ac:dyDescent="0.3">
      <c r="A4" s="23"/>
      <c r="B4" s="23"/>
      <c r="C4" s="191" t="s">
        <v>105</v>
      </c>
      <c r="D4" s="192"/>
      <c r="E4" s="193"/>
      <c r="F4" s="191" t="s">
        <v>107</v>
      </c>
      <c r="G4" s="192"/>
      <c r="H4" s="193"/>
      <c r="I4" s="191" t="s">
        <v>109</v>
      </c>
      <c r="J4" s="192"/>
      <c r="K4" s="193"/>
      <c r="L4" s="191" t="s">
        <v>111</v>
      </c>
      <c r="M4" s="192"/>
      <c r="N4" s="193"/>
      <c r="O4" s="191" t="s">
        <v>112</v>
      </c>
      <c r="P4" s="192"/>
      <c r="Q4" s="193"/>
      <c r="R4" s="191" t="s">
        <v>114</v>
      </c>
      <c r="S4" s="192"/>
      <c r="T4" s="193"/>
      <c r="U4" s="23"/>
      <c r="V4" s="23"/>
      <c r="W4" s="23"/>
      <c r="X4" s="23"/>
      <c r="Y4" s="23"/>
      <c r="Z4" s="23"/>
      <c r="AA4" s="194" t="s">
        <v>48</v>
      </c>
      <c r="AB4" s="195"/>
      <c r="AC4" s="195"/>
      <c r="AD4" s="196"/>
      <c r="AE4" s="23"/>
      <c r="AF4" s="23"/>
      <c r="AG4" s="23"/>
    </row>
    <row r="5" spans="1:41" s="19" customFormat="1" ht="30" x14ac:dyDescent="0.25">
      <c r="A5" s="16" t="s">
        <v>50</v>
      </c>
      <c r="B5" s="17" t="s">
        <v>63</v>
      </c>
      <c r="C5" s="17" t="s">
        <v>40</v>
      </c>
      <c r="D5" s="17" t="s">
        <v>99</v>
      </c>
      <c r="E5" s="17" t="s">
        <v>100</v>
      </c>
      <c r="F5" s="17" t="s">
        <v>41</v>
      </c>
      <c r="G5" s="17" t="s">
        <v>106</v>
      </c>
      <c r="H5" s="17" t="s">
        <v>100</v>
      </c>
      <c r="I5" s="17" t="s">
        <v>42</v>
      </c>
      <c r="J5" s="17" t="s">
        <v>106</v>
      </c>
      <c r="K5" s="17" t="s">
        <v>100</v>
      </c>
      <c r="L5" s="17" t="s">
        <v>43</v>
      </c>
      <c r="M5" s="17" t="s">
        <v>106</v>
      </c>
      <c r="N5" s="17" t="s">
        <v>100</v>
      </c>
      <c r="O5" s="17" t="s">
        <v>44</v>
      </c>
      <c r="P5" s="17" t="s">
        <v>106</v>
      </c>
      <c r="Q5" s="17" t="s">
        <v>100</v>
      </c>
      <c r="R5" s="17" t="s">
        <v>6</v>
      </c>
      <c r="S5" s="17" t="s">
        <v>106</v>
      </c>
      <c r="T5" s="17" t="s">
        <v>100</v>
      </c>
      <c r="U5" s="17" t="s">
        <v>5</v>
      </c>
      <c r="V5" s="17" t="s">
        <v>45</v>
      </c>
      <c r="W5" s="17" t="s">
        <v>46</v>
      </c>
      <c r="X5" s="17" t="s">
        <v>47</v>
      </c>
      <c r="Y5" s="17" t="s">
        <v>4</v>
      </c>
      <c r="Z5" s="17" t="s">
        <v>3</v>
      </c>
      <c r="AA5" s="28" t="s">
        <v>102</v>
      </c>
      <c r="AB5" s="28" t="s">
        <v>103</v>
      </c>
      <c r="AC5" s="28" t="s">
        <v>104</v>
      </c>
      <c r="AD5" s="18" t="s">
        <v>49</v>
      </c>
      <c r="AE5" s="33"/>
      <c r="AF5" s="33"/>
      <c r="AG5" s="33"/>
    </row>
    <row r="6" spans="1:41" x14ac:dyDescent="0.25">
      <c r="A6" s="5" t="s">
        <v>94</v>
      </c>
      <c r="B6" s="4">
        <v>116980329</v>
      </c>
      <c r="C6" s="4">
        <v>0</v>
      </c>
      <c r="D6" s="4">
        <v>0</v>
      </c>
      <c r="E6" s="4">
        <f>+C6-D6</f>
        <v>0</v>
      </c>
      <c r="F6" s="4">
        <v>0</v>
      </c>
      <c r="G6" s="4">
        <v>0</v>
      </c>
      <c r="H6" s="4">
        <f t="shared" ref="H6:H19" si="0">+F6-G6</f>
        <v>0</v>
      </c>
      <c r="I6" s="4">
        <f>+'202501anual'!E6</f>
        <v>67092060</v>
      </c>
      <c r="J6" s="4">
        <v>0</v>
      </c>
      <c r="K6" s="4">
        <f t="shared" ref="K6:K22" si="1">+I6-J6</f>
        <v>67092060</v>
      </c>
      <c r="L6" s="4">
        <f>+'202501anual'!F6</f>
        <v>24907259.578648102</v>
      </c>
      <c r="M6" s="4">
        <f>6656089.59-1858002.8</f>
        <v>4798086.79</v>
      </c>
      <c r="N6" s="4">
        <f t="shared" ref="N6:N11" si="2">+L6-M6</f>
        <v>20109172.788648102</v>
      </c>
      <c r="O6" s="4">
        <f>+'202501anual'!G6</f>
        <v>24907259.578648102</v>
      </c>
      <c r="P6" s="4">
        <f>41573.83-16871.76+11161757.15-3147286.65+365554.54-96309.64</f>
        <v>8308417.4699999997</v>
      </c>
      <c r="Q6" s="4">
        <f t="shared" ref="Q6:Q11" si="3">+O6-P6</f>
        <v>16598842.108648103</v>
      </c>
      <c r="R6" s="4">
        <f>+'202501anual'!H6</f>
        <v>24907259.578648102</v>
      </c>
      <c r="S6" s="4"/>
      <c r="T6" s="4">
        <f t="shared" ref="T6:T11" si="4">+R6-S6</f>
        <v>24907259.578648102</v>
      </c>
      <c r="U6" s="4"/>
      <c r="V6" s="4"/>
      <c r="W6" s="4"/>
      <c r="X6" s="4"/>
      <c r="Y6" s="4"/>
      <c r="Z6" s="4"/>
      <c r="AA6" s="4">
        <f>+C6+F6+I6+L6+O6+R6</f>
        <v>141813838.7359443</v>
      </c>
      <c r="AB6" s="4">
        <f>+D6+G6+J6+M6+P6+S6</f>
        <v>13106504.26</v>
      </c>
      <c r="AC6" s="4">
        <f t="shared" ref="AC6:AC11" si="5">+AA6-AB6</f>
        <v>128707334.4759443</v>
      </c>
      <c r="AD6" s="43">
        <f>+AC6/AA6</f>
        <v>0.90757951144384319</v>
      </c>
      <c r="AE6" s="34"/>
      <c r="AF6" s="34"/>
      <c r="AG6" s="34"/>
      <c r="AH6" s="2"/>
      <c r="AI6" s="2"/>
    </row>
    <row r="7" spans="1:41" x14ac:dyDescent="0.25">
      <c r="A7" s="5" t="s">
        <v>95</v>
      </c>
      <c r="B7" s="4">
        <v>727688079.04725444</v>
      </c>
      <c r="C7" s="4">
        <v>0</v>
      </c>
      <c r="D7" s="4">
        <v>0</v>
      </c>
      <c r="E7" s="4">
        <f t="shared" ref="E7:E22" si="6">+C7-D7</f>
        <v>0</v>
      </c>
      <c r="F7" s="4">
        <v>0</v>
      </c>
      <c r="G7" s="4">
        <v>0</v>
      </c>
      <c r="H7" s="4">
        <f t="shared" si="0"/>
        <v>0</v>
      </c>
      <c r="I7" s="4">
        <f>+'202501anual'!E7</f>
        <v>0</v>
      </c>
      <c r="J7" s="4">
        <v>0</v>
      </c>
      <c r="K7" s="4">
        <f t="shared" si="1"/>
        <v>0</v>
      </c>
      <c r="L7" s="4">
        <f>+'202501anual'!F7</f>
        <v>73174394.085000008</v>
      </c>
      <c r="M7" s="4">
        <f>8880801.04-1355094.16</f>
        <v>7525706.879999999</v>
      </c>
      <c r="N7" s="4">
        <f t="shared" si="2"/>
        <v>65648687.205000013</v>
      </c>
      <c r="O7" s="4">
        <f>+'202501anual'!G7</f>
        <v>73174394.085000008</v>
      </c>
      <c r="P7" s="4">
        <f>84673.96-18192.96+20293885.7-3331592.73+1132560-166295.4</f>
        <v>17995038.57</v>
      </c>
      <c r="Q7" s="4">
        <f t="shared" si="3"/>
        <v>55179355.515000008</v>
      </c>
      <c r="R7" s="4">
        <f>+'202501anual'!H7</f>
        <v>73174394.085000008</v>
      </c>
      <c r="S7" s="4"/>
      <c r="T7" s="4">
        <f t="shared" si="4"/>
        <v>73174394.085000008</v>
      </c>
      <c r="U7" s="4"/>
      <c r="V7" s="4"/>
      <c r="W7" s="4"/>
      <c r="X7" s="4"/>
      <c r="Y7" s="4"/>
      <c r="Z7" s="4"/>
      <c r="AA7" s="4">
        <f t="shared" ref="AA7:AB11" si="7">+C7+F7+I7+L7+O7+R7</f>
        <v>219523182.25500003</v>
      </c>
      <c r="AB7" s="4">
        <f t="shared" si="7"/>
        <v>25520745.449999999</v>
      </c>
      <c r="AC7" s="4">
        <f t="shared" si="5"/>
        <v>194002436.80500004</v>
      </c>
      <c r="AD7" s="43">
        <f>+AC7/AA7</f>
        <v>0.88374464515390061</v>
      </c>
      <c r="AE7" s="34"/>
      <c r="AF7" s="34"/>
      <c r="AG7" s="34"/>
      <c r="AH7" s="2"/>
      <c r="AI7" s="2"/>
    </row>
    <row r="8" spans="1:41" x14ac:dyDescent="0.25">
      <c r="A8" s="5" t="s">
        <v>113</v>
      </c>
      <c r="B8" s="4">
        <v>1460371848</v>
      </c>
      <c r="C8" s="4">
        <v>0</v>
      </c>
      <c r="D8" s="4">
        <v>0</v>
      </c>
      <c r="E8" s="4">
        <f t="shared" si="6"/>
        <v>0</v>
      </c>
      <c r="F8" s="4">
        <v>0</v>
      </c>
      <c r="G8" s="4">
        <v>0</v>
      </c>
      <c r="H8" s="4">
        <f t="shared" si="0"/>
        <v>0</v>
      </c>
      <c r="I8" s="4">
        <f>+'202501anual'!E8</f>
        <v>0</v>
      </c>
      <c r="J8" s="4">
        <v>1000210</v>
      </c>
      <c r="K8" s="4">
        <f t="shared" si="1"/>
        <v>-1000210</v>
      </c>
      <c r="L8" s="4">
        <f>+'202501anual'!F8</f>
        <v>1590000</v>
      </c>
      <c r="M8" s="4">
        <v>2529667</v>
      </c>
      <c r="N8" s="4">
        <f t="shared" si="2"/>
        <v>-939667</v>
      </c>
      <c r="O8" s="4">
        <f>+'202501anual'!G8</f>
        <v>1590000</v>
      </c>
      <c r="P8" s="4">
        <f>3331955.26+166683</f>
        <v>3498638.26</v>
      </c>
      <c r="Q8" s="4">
        <f t="shared" si="3"/>
        <v>-1908638.2599999998</v>
      </c>
      <c r="R8" s="4">
        <f>+'202501anual'!H8</f>
        <v>1590000</v>
      </c>
      <c r="S8" s="4"/>
      <c r="T8" s="4">
        <f t="shared" si="4"/>
        <v>1590000</v>
      </c>
      <c r="U8" s="4"/>
      <c r="V8" s="4"/>
      <c r="W8" s="4"/>
      <c r="X8" s="4"/>
      <c r="Y8" s="4"/>
      <c r="Z8" s="4"/>
      <c r="AA8" s="4">
        <f t="shared" si="7"/>
        <v>4770000</v>
      </c>
      <c r="AB8" s="4">
        <f t="shared" si="7"/>
        <v>7028515.2599999998</v>
      </c>
      <c r="AC8" s="4">
        <f t="shared" si="5"/>
        <v>-2258515.2599999998</v>
      </c>
      <c r="AD8" s="43">
        <f>+AC8/AA8</f>
        <v>-0.47348328301886788</v>
      </c>
      <c r="AE8" s="34"/>
      <c r="AF8" s="34"/>
      <c r="AG8" s="34"/>
      <c r="AH8" s="2"/>
      <c r="AI8" s="2"/>
    </row>
    <row r="9" spans="1:41" x14ac:dyDescent="0.25">
      <c r="A9" s="5" t="s">
        <v>97</v>
      </c>
      <c r="B9" s="4">
        <v>384000000</v>
      </c>
      <c r="C9" s="4">
        <v>32000000</v>
      </c>
      <c r="D9" s="4">
        <v>35018397.310000002</v>
      </c>
      <c r="E9" s="4">
        <f t="shared" si="6"/>
        <v>-3018397.3100000024</v>
      </c>
      <c r="F9" s="4">
        <v>32000000</v>
      </c>
      <c r="G9" s="4">
        <v>22235664</v>
      </c>
      <c r="H9" s="4">
        <f t="shared" si="0"/>
        <v>9764336</v>
      </c>
      <c r="I9" s="4">
        <f>+'202501anual'!E10</f>
        <v>119170200</v>
      </c>
      <c r="J9" s="4">
        <f>23782524.8+499828.7</f>
        <v>24282353.5</v>
      </c>
      <c r="K9" s="4">
        <f t="shared" si="1"/>
        <v>94887846.5</v>
      </c>
      <c r="L9" s="4">
        <f>+'202501anual'!F10</f>
        <v>89250000</v>
      </c>
      <c r="M9" s="4">
        <f>31917625-14853460.67-90490.51</f>
        <v>16973673.819999997</v>
      </c>
      <c r="N9" s="4">
        <f t="shared" si="2"/>
        <v>72276326.180000007</v>
      </c>
      <c r="O9" s="4">
        <f>+'202501anual'!G10</f>
        <v>89250000</v>
      </c>
      <c r="P9" s="4">
        <f>24478075.71-863600</f>
        <v>23614475.710000001</v>
      </c>
      <c r="Q9" s="4">
        <f t="shared" si="3"/>
        <v>65635524.289999999</v>
      </c>
      <c r="R9" s="4">
        <f>+'202501anual'!H10</f>
        <v>89250000</v>
      </c>
      <c r="S9" s="4"/>
      <c r="T9" s="4">
        <f t="shared" si="4"/>
        <v>89250000</v>
      </c>
      <c r="U9" s="4"/>
      <c r="V9" s="4"/>
      <c r="W9" s="4"/>
      <c r="X9" s="4"/>
      <c r="Y9" s="4"/>
      <c r="Z9" s="4"/>
      <c r="AA9" s="4">
        <f t="shared" si="7"/>
        <v>450920200</v>
      </c>
      <c r="AB9" s="4">
        <f t="shared" si="7"/>
        <v>122124564.34</v>
      </c>
      <c r="AC9" s="4">
        <f t="shared" si="5"/>
        <v>328795635.65999997</v>
      </c>
      <c r="AD9" s="43">
        <f>+AC9/AA9</f>
        <v>0.72916590487629507</v>
      </c>
      <c r="AE9" s="34"/>
      <c r="AF9" s="34"/>
      <c r="AG9" s="34"/>
      <c r="AH9" s="2"/>
      <c r="AI9" s="2"/>
    </row>
    <row r="10" spans="1:41" x14ac:dyDescent="0.25">
      <c r="A10" s="5" t="s">
        <v>101</v>
      </c>
      <c r="B10" s="4">
        <v>0</v>
      </c>
      <c r="C10" s="4">
        <v>0</v>
      </c>
      <c r="D10" s="4">
        <v>0</v>
      </c>
      <c r="E10" s="4">
        <f t="shared" si="6"/>
        <v>0</v>
      </c>
      <c r="F10" s="4">
        <v>0</v>
      </c>
      <c r="G10" s="4">
        <v>4211013</v>
      </c>
      <c r="H10" s="4">
        <f t="shared" si="0"/>
        <v>-4211013</v>
      </c>
      <c r="I10" s="4">
        <f>+'202501anual'!E11</f>
        <v>581250</v>
      </c>
      <c r="J10" s="4">
        <f>+[1]Resultados2023!$E$175+[1]Resultados2023!$C$175</f>
        <v>36638528.780000001</v>
      </c>
      <c r="K10" s="4">
        <f t="shared" si="1"/>
        <v>-36057278.780000001</v>
      </c>
      <c r="L10" s="4">
        <f>+'202501anual'!F11</f>
        <v>300526.70793269889</v>
      </c>
      <c r="M10" s="4">
        <v>3592200</v>
      </c>
      <c r="N10" s="4">
        <f t="shared" si="2"/>
        <v>-3291673.292067301</v>
      </c>
      <c r="O10" s="4">
        <f>+'202501anual'!G11</f>
        <v>300526.70793269889</v>
      </c>
      <c r="P10" s="4">
        <v>1967700</v>
      </c>
      <c r="Q10" s="4">
        <f t="shared" si="3"/>
        <v>-1667173.292067301</v>
      </c>
      <c r="R10" s="4">
        <f>+'202501anual'!H11</f>
        <v>300526.70793269889</v>
      </c>
      <c r="S10" s="4"/>
      <c r="T10" s="4">
        <f t="shared" si="4"/>
        <v>300526.70793269889</v>
      </c>
      <c r="U10" s="4"/>
      <c r="V10" s="4"/>
      <c r="W10" s="4"/>
      <c r="X10" s="4"/>
      <c r="Y10" s="4"/>
      <c r="Z10" s="4"/>
      <c r="AA10" s="4">
        <f t="shared" si="7"/>
        <v>1482830.1237980966</v>
      </c>
      <c r="AB10" s="4">
        <f t="shared" si="7"/>
        <v>46409441.780000001</v>
      </c>
      <c r="AC10" s="4">
        <f t="shared" si="5"/>
        <v>-44926611.656201907</v>
      </c>
      <c r="AD10" s="43">
        <f t="shared" ref="AD10:AD22" si="8">+AC10/AA10</f>
        <v>-30.297881689325024</v>
      </c>
      <c r="AE10" s="34"/>
      <c r="AF10" s="34"/>
      <c r="AG10" s="34"/>
      <c r="AH10" s="2"/>
      <c r="AI10" s="2"/>
    </row>
    <row r="11" spans="1:41" x14ac:dyDescent="0.25">
      <c r="A11" s="26" t="s">
        <v>98</v>
      </c>
      <c r="B11" s="4">
        <v>1744961750</v>
      </c>
      <c r="C11" s="4">
        <v>348992350</v>
      </c>
      <c r="D11" s="4">
        <v>0</v>
      </c>
      <c r="E11" s="4">
        <f t="shared" si="6"/>
        <v>348992350</v>
      </c>
      <c r="F11" s="4">
        <v>348992350</v>
      </c>
      <c r="G11" s="4">
        <v>7315123</v>
      </c>
      <c r="H11" s="4">
        <f t="shared" si="0"/>
        <v>341677227</v>
      </c>
      <c r="I11" s="4">
        <f>+'202501anual'!E14</f>
        <v>0</v>
      </c>
      <c r="J11" s="4">
        <v>6429362</v>
      </c>
      <c r="K11" s="4">
        <f t="shared" si="1"/>
        <v>-6429362</v>
      </c>
      <c r="L11" s="4">
        <f>+'202501anual'!F14</f>
        <v>0</v>
      </c>
      <c r="M11" s="4">
        <v>0</v>
      </c>
      <c r="N11" s="4">
        <f t="shared" si="2"/>
        <v>0</v>
      </c>
      <c r="O11" s="4">
        <f>+'202501anual'!G14</f>
        <v>0</v>
      </c>
      <c r="P11" s="4">
        <v>0</v>
      </c>
      <c r="Q11" s="4">
        <f t="shared" si="3"/>
        <v>0</v>
      </c>
      <c r="R11" s="4">
        <f>+'202501anual'!H14</f>
        <v>0</v>
      </c>
      <c r="S11" s="4">
        <v>0</v>
      </c>
      <c r="T11" s="4">
        <f t="shared" si="4"/>
        <v>0</v>
      </c>
      <c r="U11" s="4"/>
      <c r="V11" s="4"/>
      <c r="W11" s="4"/>
      <c r="X11" s="4"/>
      <c r="Y11" s="4"/>
      <c r="Z11" s="4"/>
      <c r="AA11" s="4">
        <f t="shared" si="7"/>
        <v>697984700</v>
      </c>
      <c r="AB11" s="4">
        <f t="shared" si="7"/>
        <v>13744485</v>
      </c>
      <c r="AC11" s="4">
        <f t="shared" si="5"/>
        <v>684240215</v>
      </c>
      <c r="AD11" s="43">
        <f t="shared" si="8"/>
        <v>0.98030832910807353</v>
      </c>
      <c r="AE11" s="34"/>
      <c r="AF11" s="34"/>
      <c r="AG11" s="34"/>
      <c r="AH11" s="2"/>
      <c r="AI11" s="2"/>
    </row>
    <row r="12" spans="1:41" ht="18.75" x14ac:dyDescent="0.3">
      <c r="A12" s="11" t="s">
        <v>2</v>
      </c>
      <c r="B12" s="7">
        <f>SUM(B6:B11)</f>
        <v>4434002006.0472546</v>
      </c>
      <c r="C12" s="7">
        <f t="shared" ref="C12:AC12" si="9">SUM(C6:C11)</f>
        <v>380992350</v>
      </c>
      <c r="D12" s="7">
        <f t="shared" si="9"/>
        <v>35018397.310000002</v>
      </c>
      <c r="E12" s="7">
        <f t="shared" si="9"/>
        <v>345973952.69</v>
      </c>
      <c r="F12" s="7">
        <f>SUM(F6:F11)</f>
        <v>380992350</v>
      </c>
      <c r="G12" s="7">
        <f>SUM(G6:G11)</f>
        <v>33761800</v>
      </c>
      <c r="H12" s="7">
        <f>SUM(H6:H11)</f>
        <v>347230550</v>
      </c>
      <c r="I12" s="7">
        <f t="shared" si="9"/>
        <v>186843510</v>
      </c>
      <c r="J12" s="7">
        <f t="shared" si="9"/>
        <v>68350454.280000001</v>
      </c>
      <c r="K12" s="7">
        <f t="shared" si="9"/>
        <v>118493055.72</v>
      </c>
      <c r="L12" s="7">
        <f>SUM(L6:L11)</f>
        <v>189222180.37158084</v>
      </c>
      <c r="M12" s="7">
        <f>SUM(M6:M11)</f>
        <v>35419334.489999995</v>
      </c>
      <c r="N12" s="7">
        <f>SUM(N6:N11)</f>
        <v>153802845.88158083</v>
      </c>
      <c r="O12" s="7">
        <f t="shared" si="9"/>
        <v>189222180.37158084</v>
      </c>
      <c r="P12" s="7">
        <f t="shared" si="9"/>
        <v>55384270.009999998</v>
      </c>
      <c r="Q12" s="7">
        <f t="shared" si="9"/>
        <v>133837910.3615808</v>
      </c>
      <c r="R12" s="7">
        <f t="shared" si="9"/>
        <v>189222180.37158084</v>
      </c>
      <c r="S12" s="7">
        <f t="shared" si="9"/>
        <v>0</v>
      </c>
      <c r="T12" s="7">
        <f t="shared" si="9"/>
        <v>189222180.37158084</v>
      </c>
      <c r="U12" s="7">
        <f t="shared" si="9"/>
        <v>0</v>
      </c>
      <c r="V12" s="7">
        <f t="shared" si="9"/>
        <v>0</v>
      </c>
      <c r="W12" s="7">
        <f t="shared" si="9"/>
        <v>0</v>
      </c>
      <c r="X12" s="7">
        <f t="shared" si="9"/>
        <v>0</v>
      </c>
      <c r="Y12" s="7">
        <f t="shared" si="9"/>
        <v>0</v>
      </c>
      <c r="Z12" s="7">
        <f t="shared" si="9"/>
        <v>0</v>
      </c>
      <c r="AA12" s="7">
        <f t="shared" si="9"/>
        <v>1516494751.1147425</v>
      </c>
      <c r="AB12" s="7">
        <f>SUM(AB6:AB11)</f>
        <v>227934256.09</v>
      </c>
      <c r="AC12" s="7">
        <f t="shared" si="9"/>
        <v>1288560495.0247424</v>
      </c>
      <c r="AD12" s="31">
        <f t="shared" si="8"/>
        <v>0.84969664028019176</v>
      </c>
      <c r="AE12" s="34"/>
      <c r="AF12" s="35"/>
      <c r="AG12" s="35"/>
      <c r="AH12" s="2"/>
      <c r="AI12" s="2"/>
    </row>
    <row r="13" spans="1:41" x14ac:dyDescent="0.25">
      <c r="A13" s="5" t="s">
        <v>36</v>
      </c>
      <c r="B13" s="4">
        <v>878588056</v>
      </c>
      <c r="C13" s="4">
        <v>73215671.330134079</v>
      </c>
      <c r="D13" s="4">
        <v>86122604.719999999</v>
      </c>
      <c r="E13" s="4">
        <f t="shared" si="6"/>
        <v>-12906933.38986592</v>
      </c>
      <c r="F13" s="4">
        <f>+'202501anual'!D16</f>
        <v>80642664</v>
      </c>
      <c r="G13" s="4">
        <f>+[2]Resultados2023!$D$9-[2]Resultados2023!$D$24-[2]Resultados2023!$C$24</f>
        <v>81355068.280000001</v>
      </c>
      <c r="H13" s="4">
        <f t="shared" si="0"/>
        <v>-712404.28000000119</v>
      </c>
      <c r="I13" s="4">
        <f>+'202501anual'!E16</f>
        <v>80642664</v>
      </c>
      <c r="J13" s="4">
        <f>+[1]Resultados2023!$E$9-700236</f>
        <v>79053672</v>
      </c>
      <c r="K13" s="4">
        <f t="shared" si="1"/>
        <v>1588992</v>
      </c>
      <c r="L13" s="4">
        <f>+'202501anual'!F16</f>
        <v>80642664</v>
      </c>
      <c r="M13" s="4">
        <f>+[3]Resultados2023!$F$9</f>
        <v>74716769.890000001</v>
      </c>
      <c r="N13" s="4">
        <f t="shared" ref="N13:N19" si="10">+L13-M13</f>
        <v>5925894.1099999994</v>
      </c>
      <c r="O13" s="4">
        <f>+'202501anual'!G16</f>
        <v>80642664</v>
      </c>
      <c r="P13" s="4" t="str">
        <f>+[4]Hoja1!$G$9</f>
        <v>NUEVA EPS</v>
      </c>
      <c r="Q13" s="4" t="e">
        <f t="shared" ref="Q13:Q19" si="11">+O13-P13</f>
        <v>#VALUE!</v>
      </c>
      <c r="R13" s="4">
        <f>+'202501anual'!H16</f>
        <v>80642664</v>
      </c>
      <c r="S13" s="4"/>
      <c r="T13" s="4">
        <f t="shared" ref="T13:T19" si="12">+R13-S13</f>
        <v>80642664</v>
      </c>
      <c r="U13" s="4"/>
      <c r="V13" s="4"/>
      <c r="W13" s="4"/>
      <c r="X13" s="4"/>
      <c r="Y13" s="4"/>
      <c r="Z13" s="4"/>
      <c r="AA13" s="4">
        <f t="shared" ref="AA13:AB19" si="13">+C13+F13+I13+L13+O13+R13</f>
        <v>476428991.33013409</v>
      </c>
      <c r="AB13" s="4" t="e">
        <f t="shared" si="13"/>
        <v>#VALUE!</v>
      </c>
      <c r="AC13" s="4" t="e">
        <f t="shared" ref="AC13:AC19" si="14">+AA13-AB13</f>
        <v>#VALUE!</v>
      </c>
      <c r="AD13" s="43" t="e">
        <f t="shared" si="8"/>
        <v>#VALUE!</v>
      </c>
      <c r="AE13" s="34"/>
      <c r="AF13" s="36"/>
      <c r="AG13" s="36"/>
      <c r="AH13" s="2"/>
      <c r="AI13" s="2"/>
    </row>
    <row r="14" spans="1:41" ht="60" x14ac:dyDescent="0.25">
      <c r="A14" s="21" t="s">
        <v>65</v>
      </c>
      <c r="B14" s="4">
        <v>21060000</v>
      </c>
      <c r="C14" s="4">
        <v>7020000</v>
      </c>
      <c r="D14" s="4">
        <v>0</v>
      </c>
      <c r="E14" s="4">
        <f t="shared" si="6"/>
        <v>7020000</v>
      </c>
      <c r="F14" s="4" t="e">
        <f>+'202501anual'!#REF!</f>
        <v>#REF!</v>
      </c>
      <c r="G14" s="4">
        <v>0</v>
      </c>
      <c r="H14" s="4" t="e">
        <f t="shared" si="0"/>
        <v>#REF!</v>
      </c>
      <c r="I14" s="4" t="e">
        <f>+'202501anual'!#REF!</f>
        <v>#REF!</v>
      </c>
      <c r="J14" s="4">
        <v>0</v>
      </c>
      <c r="K14" s="4" t="e">
        <f t="shared" si="1"/>
        <v>#REF!</v>
      </c>
      <c r="L14" s="4" t="e">
        <f>+'202501anual'!#REF!</f>
        <v>#REF!</v>
      </c>
      <c r="M14" s="4">
        <f>+[5]EjecucionPptalPasiva!$Q$203</f>
        <v>600000</v>
      </c>
      <c r="N14" s="4" t="e">
        <f t="shared" si="10"/>
        <v>#REF!</v>
      </c>
      <c r="O14" s="4" t="e">
        <f>+'202501anual'!#REF!</f>
        <v>#REF!</v>
      </c>
      <c r="P14" s="4">
        <v>0</v>
      </c>
      <c r="Q14" s="4" t="e">
        <f t="shared" si="11"/>
        <v>#REF!</v>
      </c>
      <c r="R14" s="4" t="e">
        <f>+'202501anual'!#REF!</f>
        <v>#REF!</v>
      </c>
      <c r="S14" s="4">
        <v>0</v>
      </c>
      <c r="T14" s="4" t="e">
        <f t="shared" si="12"/>
        <v>#REF!</v>
      </c>
      <c r="U14" s="4"/>
      <c r="V14" s="4"/>
      <c r="W14" s="4"/>
      <c r="X14" s="4"/>
      <c r="Y14" s="4"/>
      <c r="Z14" s="4"/>
      <c r="AA14" s="4" t="e">
        <f t="shared" si="13"/>
        <v>#REF!</v>
      </c>
      <c r="AB14" s="4">
        <f t="shared" si="13"/>
        <v>600000</v>
      </c>
      <c r="AC14" s="4" t="e">
        <f t="shared" si="14"/>
        <v>#REF!</v>
      </c>
      <c r="AD14" s="43" t="e">
        <f t="shared" si="8"/>
        <v>#REF!</v>
      </c>
      <c r="AE14" s="34"/>
      <c r="AF14" s="36"/>
      <c r="AG14" s="36"/>
      <c r="AH14" s="2"/>
      <c r="AI14" s="2"/>
    </row>
    <row r="15" spans="1:41" x14ac:dyDescent="0.25">
      <c r="A15" s="5" t="s">
        <v>9</v>
      </c>
      <c r="B15" s="4">
        <f>1981048858-52905201</f>
        <v>1928143657</v>
      </c>
      <c r="C15" s="4">
        <v>27833200</v>
      </c>
      <c r="D15" s="4">
        <v>5039883</v>
      </c>
      <c r="E15" s="4">
        <f t="shared" si="6"/>
        <v>22793317</v>
      </c>
      <c r="F15" s="4">
        <f>+'202501anual'!D17</f>
        <v>14700000</v>
      </c>
      <c r="G15" s="4">
        <v>8480617</v>
      </c>
      <c r="H15" s="4">
        <f t="shared" si="0"/>
        <v>6219383</v>
      </c>
      <c r="I15" s="4">
        <f>+'202501anual'!E17</f>
        <v>14700000</v>
      </c>
      <c r="J15" s="4" t="e">
        <f>+#REF!</f>
        <v>#REF!</v>
      </c>
      <c r="K15" s="4" t="e">
        <f t="shared" si="1"/>
        <v>#REF!</v>
      </c>
      <c r="L15" s="4">
        <f>+'202501anual'!F17</f>
        <v>41500000</v>
      </c>
      <c r="M15" s="4" t="e">
        <f>+#REF!</f>
        <v>#REF!</v>
      </c>
      <c r="N15" s="4" t="e">
        <f t="shared" si="10"/>
        <v>#REF!</v>
      </c>
      <c r="O15" s="4">
        <f>+'202501anual'!G17</f>
        <v>48776000</v>
      </c>
      <c r="P15" s="4" t="e">
        <f>+#REF!</f>
        <v>#REF!</v>
      </c>
      <c r="Q15" s="4" t="e">
        <f t="shared" si="11"/>
        <v>#REF!</v>
      </c>
      <c r="R15" s="4">
        <f>+'202501anual'!H17</f>
        <v>33776000</v>
      </c>
      <c r="S15" s="4" t="e">
        <f>+#REF!</f>
        <v>#REF!</v>
      </c>
      <c r="T15" s="4" t="e">
        <f t="shared" si="12"/>
        <v>#REF!</v>
      </c>
      <c r="U15" s="4"/>
      <c r="V15" s="4"/>
      <c r="W15" s="4"/>
      <c r="X15" s="4"/>
      <c r="Y15" s="4"/>
      <c r="Z15" s="4"/>
      <c r="AA15" s="4">
        <f t="shared" si="13"/>
        <v>181285200</v>
      </c>
      <c r="AB15" s="4" t="e">
        <f t="shared" si="13"/>
        <v>#REF!</v>
      </c>
      <c r="AC15" s="4" t="e">
        <f t="shared" si="14"/>
        <v>#REF!</v>
      </c>
      <c r="AD15" s="43" t="e">
        <f t="shared" si="8"/>
        <v>#REF!</v>
      </c>
      <c r="AE15" s="34"/>
      <c r="AF15" s="36"/>
      <c r="AG15" s="36"/>
      <c r="AH15" s="2"/>
      <c r="AI15" s="37"/>
      <c r="AJ15" s="20"/>
      <c r="AK15" s="20"/>
      <c r="AL15" s="20"/>
      <c r="AM15" s="20"/>
      <c r="AN15" s="20"/>
      <c r="AO15" s="20"/>
    </row>
    <row r="16" spans="1:41" x14ac:dyDescent="0.25">
      <c r="A16" s="5" t="s">
        <v>8</v>
      </c>
      <c r="B16" s="4">
        <f>2106159750</f>
        <v>2106159750</v>
      </c>
      <c r="C16" s="4">
        <v>365592350</v>
      </c>
      <c r="D16" s="4">
        <v>125855</v>
      </c>
      <c r="E16" s="4">
        <f t="shared" si="6"/>
        <v>365466495</v>
      </c>
      <c r="F16" s="4">
        <f>+'202501anual'!D28</f>
        <v>2000000</v>
      </c>
      <c r="G16" s="4">
        <f>125822+31200000+46400000</f>
        <v>77725822</v>
      </c>
      <c r="H16" s="4">
        <f t="shared" si="0"/>
        <v>-75725822</v>
      </c>
      <c r="I16" s="4">
        <f>+'202501anual'!E28</f>
        <v>7000000</v>
      </c>
      <c r="J16" s="4" t="e">
        <f>+#REF!</f>
        <v>#REF!</v>
      </c>
      <c r="K16" s="4" t="e">
        <f t="shared" si="1"/>
        <v>#REF!</v>
      </c>
      <c r="L16" s="4">
        <f>+'202501anual'!F28</f>
        <v>9100000</v>
      </c>
      <c r="M16" s="4" t="e">
        <f>+#REF!</f>
        <v>#REF!</v>
      </c>
      <c r="N16" s="4" t="e">
        <f t="shared" si="10"/>
        <v>#REF!</v>
      </c>
      <c r="O16" s="4">
        <f>+'202501anual'!G28</f>
        <v>9100000</v>
      </c>
      <c r="P16" s="4" t="e">
        <f>+#REF!</f>
        <v>#REF!</v>
      </c>
      <c r="Q16" s="4" t="e">
        <f t="shared" si="11"/>
        <v>#REF!</v>
      </c>
      <c r="R16" s="4">
        <f>+'202501anual'!H28</f>
        <v>8100000</v>
      </c>
      <c r="S16" s="4" t="e">
        <f>+#REF!</f>
        <v>#REF!</v>
      </c>
      <c r="T16" s="4" t="e">
        <f t="shared" si="12"/>
        <v>#REF!</v>
      </c>
      <c r="U16" s="4"/>
      <c r="V16" s="4"/>
      <c r="W16" s="4"/>
      <c r="X16" s="4"/>
      <c r="Y16" s="4"/>
      <c r="Z16" s="4"/>
      <c r="AA16" s="4">
        <f t="shared" si="13"/>
        <v>400892350</v>
      </c>
      <c r="AB16" s="4" t="e">
        <f t="shared" si="13"/>
        <v>#REF!</v>
      </c>
      <c r="AC16" s="4" t="e">
        <f t="shared" si="14"/>
        <v>#REF!</v>
      </c>
      <c r="AD16" s="43" t="e">
        <f t="shared" si="8"/>
        <v>#REF!</v>
      </c>
      <c r="AE16" s="34"/>
      <c r="AF16" s="36"/>
      <c r="AG16" s="2"/>
      <c r="AI16" s="37"/>
      <c r="AJ16" s="20"/>
      <c r="AK16" s="20"/>
      <c r="AL16" s="20"/>
      <c r="AM16" s="20"/>
      <c r="AN16" s="20"/>
      <c r="AO16" s="20"/>
    </row>
    <row r="17" spans="1:41" x14ac:dyDescent="0.25">
      <c r="A17" s="5" t="s">
        <v>10</v>
      </c>
      <c r="B17" s="4">
        <f>360000000+14000000</f>
        <v>374000000</v>
      </c>
      <c r="C17" s="4">
        <v>0</v>
      </c>
      <c r="D17" s="4">
        <v>0</v>
      </c>
      <c r="E17" s="4">
        <f t="shared" si="6"/>
        <v>0</v>
      </c>
      <c r="F17" s="4">
        <f>+'202501anual'!D38</f>
        <v>0</v>
      </c>
      <c r="G17" s="4">
        <v>0</v>
      </c>
      <c r="H17" s="4">
        <f t="shared" si="0"/>
        <v>0</v>
      </c>
      <c r="I17" s="4">
        <f>+'202501anual'!E38</f>
        <v>0</v>
      </c>
      <c r="J17" s="4">
        <v>0</v>
      </c>
      <c r="K17" s="4">
        <f t="shared" si="1"/>
        <v>0</v>
      </c>
      <c r="L17" s="4">
        <f>+'202501anual'!F38</f>
        <v>0</v>
      </c>
      <c r="M17" s="4">
        <v>0</v>
      </c>
      <c r="N17" s="4">
        <f t="shared" si="10"/>
        <v>0</v>
      </c>
      <c r="O17" s="4">
        <f>+'202501anual'!G38</f>
        <v>0</v>
      </c>
      <c r="P17" s="4">
        <v>0</v>
      </c>
      <c r="Q17" s="4">
        <f t="shared" si="11"/>
        <v>0</v>
      </c>
      <c r="R17" s="4">
        <f>+'202501anual'!H38</f>
        <v>0</v>
      </c>
      <c r="S17" s="4">
        <v>0</v>
      </c>
      <c r="T17" s="4">
        <f t="shared" si="12"/>
        <v>0</v>
      </c>
      <c r="U17" s="4"/>
      <c r="V17" s="4"/>
      <c r="W17" s="4"/>
      <c r="X17" s="4"/>
      <c r="Y17" s="4"/>
      <c r="Z17" s="4"/>
      <c r="AA17" s="4">
        <f t="shared" si="13"/>
        <v>0</v>
      </c>
      <c r="AB17" s="4">
        <f t="shared" si="13"/>
        <v>0</v>
      </c>
      <c r="AC17" s="4">
        <f t="shared" si="14"/>
        <v>0</v>
      </c>
      <c r="AD17" s="43">
        <v>0</v>
      </c>
      <c r="AE17" s="34"/>
      <c r="AF17" s="36"/>
      <c r="AG17" s="36"/>
      <c r="AH17" s="2"/>
      <c r="AI17" s="37"/>
      <c r="AJ17" s="20"/>
      <c r="AK17" s="20"/>
      <c r="AL17" s="20"/>
      <c r="AM17" s="20"/>
      <c r="AN17" s="20"/>
      <c r="AO17" s="20"/>
    </row>
    <row r="18" spans="1:41" x14ac:dyDescent="0.25">
      <c r="A18" s="5" t="s">
        <v>11</v>
      </c>
      <c r="B18" s="4">
        <f>744342859-14000000</f>
        <v>730342859</v>
      </c>
      <c r="C18" s="4">
        <v>48866667</v>
      </c>
      <c r="D18" s="4">
        <v>0</v>
      </c>
      <c r="E18" s="4">
        <f t="shared" si="6"/>
        <v>48866667</v>
      </c>
      <c r="F18" s="4">
        <f>+'202501anual'!D41</f>
        <v>4528764.870000001</v>
      </c>
      <c r="G18" s="4">
        <v>0</v>
      </c>
      <c r="H18" s="4">
        <f t="shared" si="0"/>
        <v>4528764.870000001</v>
      </c>
      <c r="I18" s="4">
        <f>+'202501anual'!E41</f>
        <v>5074982</v>
      </c>
      <c r="J18" s="4" t="e">
        <f>+#REF!</f>
        <v>#REF!</v>
      </c>
      <c r="K18" s="4" t="e">
        <f t="shared" si="1"/>
        <v>#REF!</v>
      </c>
      <c r="L18" s="4">
        <f>+'202501anual'!F41</f>
        <v>0</v>
      </c>
      <c r="M18" s="4" t="e">
        <f>+#REF!</f>
        <v>#REF!</v>
      </c>
      <c r="N18" s="4" t="e">
        <f t="shared" si="10"/>
        <v>#REF!</v>
      </c>
      <c r="O18" s="4">
        <f>+'202501anual'!G41</f>
        <v>0</v>
      </c>
      <c r="P18" s="4" t="e">
        <f>+#REF!</f>
        <v>#REF!</v>
      </c>
      <c r="Q18" s="4" t="e">
        <f t="shared" si="11"/>
        <v>#REF!</v>
      </c>
      <c r="R18" s="4">
        <f>+'202501anual'!H41</f>
        <v>0</v>
      </c>
      <c r="S18" s="4" t="e">
        <f>+#REF!</f>
        <v>#REF!</v>
      </c>
      <c r="T18" s="4" t="e">
        <f t="shared" si="12"/>
        <v>#REF!</v>
      </c>
      <c r="U18" s="4"/>
      <c r="V18" s="4"/>
      <c r="W18" s="4"/>
      <c r="X18" s="4"/>
      <c r="Y18" s="4"/>
      <c r="Z18" s="4"/>
      <c r="AA18" s="4">
        <f t="shared" si="13"/>
        <v>58470413.870000005</v>
      </c>
      <c r="AB18" s="4" t="e">
        <f t="shared" si="13"/>
        <v>#REF!</v>
      </c>
      <c r="AC18" s="4" t="e">
        <f t="shared" si="14"/>
        <v>#REF!</v>
      </c>
      <c r="AD18" s="43" t="e">
        <f t="shared" si="8"/>
        <v>#REF!</v>
      </c>
      <c r="AE18" s="34"/>
      <c r="AF18" s="36"/>
      <c r="AG18" s="36"/>
      <c r="AH18" s="2"/>
      <c r="AI18" s="37"/>
      <c r="AJ18" s="20"/>
      <c r="AK18" s="20"/>
      <c r="AL18" s="20"/>
      <c r="AM18" s="20"/>
      <c r="AN18" s="20"/>
      <c r="AO18" s="20"/>
    </row>
    <row r="19" spans="1:41" x14ac:dyDescent="0.25">
      <c r="A19" s="5" t="s">
        <v>12</v>
      </c>
      <c r="B19" s="4">
        <f>389605000+1000000</f>
        <v>390605000</v>
      </c>
      <c r="C19" s="4">
        <v>6650000</v>
      </c>
      <c r="D19" s="4">
        <v>1781552</v>
      </c>
      <c r="E19" s="4">
        <f t="shared" si="6"/>
        <v>4868448</v>
      </c>
      <c r="F19" s="4">
        <f>+'202501anual'!D42</f>
        <v>5089000</v>
      </c>
      <c r="G19" s="4">
        <f>1005925+499333+3000000</f>
        <v>4505258</v>
      </c>
      <c r="H19" s="4">
        <f t="shared" si="0"/>
        <v>583742</v>
      </c>
      <c r="I19" s="4">
        <f>+'202501anual'!E42</f>
        <v>62450000</v>
      </c>
      <c r="J19" s="4" t="e">
        <f>+#REF!</f>
        <v>#REF!</v>
      </c>
      <c r="K19" s="4" t="e">
        <f t="shared" si="1"/>
        <v>#REF!</v>
      </c>
      <c r="L19" s="4">
        <f>+'202501anual'!F42</f>
        <v>30089000</v>
      </c>
      <c r="M19" s="4" t="e">
        <f>+#REF!</f>
        <v>#REF!</v>
      </c>
      <c r="N19" s="4" t="e">
        <f t="shared" si="10"/>
        <v>#REF!</v>
      </c>
      <c r="O19" s="4">
        <f>+'202501anual'!G42</f>
        <v>33150000</v>
      </c>
      <c r="P19" s="4" t="e">
        <f>+#REF!</f>
        <v>#REF!</v>
      </c>
      <c r="Q19" s="4" t="e">
        <f t="shared" si="11"/>
        <v>#REF!</v>
      </c>
      <c r="R19" s="4">
        <f>+'202501anual'!H42</f>
        <v>32089000</v>
      </c>
      <c r="S19" s="4" t="e">
        <f>+#REF!</f>
        <v>#REF!</v>
      </c>
      <c r="T19" s="4" t="e">
        <f t="shared" si="12"/>
        <v>#REF!</v>
      </c>
      <c r="U19" s="4"/>
      <c r="V19" s="4"/>
      <c r="W19" s="4"/>
      <c r="X19" s="4"/>
      <c r="Y19" s="4"/>
      <c r="Z19" s="4"/>
      <c r="AA19" s="4">
        <f t="shared" si="13"/>
        <v>169517000</v>
      </c>
      <c r="AB19" s="4" t="e">
        <f t="shared" si="13"/>
        <v>#REF!</v>
      </c>
      <c r="AC19" s="4" t="e">
        <f t="shared" si="14"/>
        <v>#REF!</v>
      </c>
      <c r="AD19" s="43" t="e">
        <f t="shared" si="8"/>
        <v>#REF!</v>
      </c>
      <c r="AE19" s="34"/>
      <c r="AF19" s="36"/>
      <c r="AG19" s="36"/>
      <c r="AH19" s="2"/>
      <c r="AI19" s="37"/>
      <c r="AJ19" s="20"/>
      <c r="AK19" s="20"/>
      <c r="AL19" s="20"/>
      <c r="AM19" s="20"/>
      <c r="AN19" s="20"/>
      <c r="AO19" s="20"/>
    </row>
    <row r="20" spans="1:41" x14ac:dyDescent="0.25">
      <c r="A20" s="12" t="s">
        <v>13</v>
      </c>
      <c r="B20" s="8">
        <f>SUM(B13:B19)</f>
        <v>6428899322</v>
      </c>
      <c r="C20" s="8">
        <f>SUM(C13:C19)</f>
        <v>529177888.33013409</v>
      </c>
      <c r="D20" s="8">
        <f t="shared" ref="D20:AC20" si="15">SUM(D13:D19)</f>
        <v>93069894.719999999</v>
      </c>
      <c r="E20" s="8">
        <f t="shared" si="15"/>
        <v>436107993.61013407</v>
      </c>
      <c r="F20" s="8" t="e">
        <f t="shared" si="15"/>
        <v>#REF!</v>
      </c>
      <c r="G20" s="8">
        <f t="shared" si="15"/>
        <v>172066765.28</v>
      </c>
      <c r="H20" s="8" t="e">
        <f t="shared" si="15"/>
        <v>#REF!</v>
      </c>
      <c r="I20" s="8" t="e">
        <f t="shared" si="15"/>
        <v>#REF!</v>
      </c>
      <c r="J20" s="8" t="e">
        <f t="shared" si="15"/>
        <v>#REF!</v>
      </c>
      <c r="K20" s="8" t="e">
        <f t="shared" si="15"/>
        <v>#REF!</v>
      </c>
      <c r="L20" s="8" t="e">
        <f t="shared" si="15"/>
        <v>#REF!</v>
      </c>
      <c r="M20" s="8" t="e">
        <f t="shared" si="15"/>
        <v>#REF!</v>
      </c>
      <c r="N20" s="8" t="e">
        <f t="shared" si="15"/>
        <v>#REF!</v>
      </c>
      <c r="O20" s="8" t="e">
        <f t="shared" si="15"/>
        <v>#REF!</v>
      </c>
      <c r="P20" s="8" t="e">
        <f t="shared" si="15"/>
        <v>#REF!</v>
      </c>
      <c r="Q20" s="8" t="e">
        <f t="shared" si="15"/>
        <v>#VALUE!</v>
      </c>
      <c r="R20" s="8">
        <f>+'202501anual'!H59</f>
        <v>154607664</v>
      </c>
      <c r="S20" s="8" t="e">
        <f>SUM(S13:S19)</f>
        <v>#REF!</v>
      </c>
      <c r="T20" s="8" t="e">
        <f>SUM(T13:T19)</f>
        <v>#REF!</v>
      </c>
      <c r="U20" s="8">
        <f t="shared" si="15"/>
        <v>0</v>
      </c>
      <c r="V20" s="8">
        <f t="shared" si="15"/>
        <v>0</v>
      </c>
      <c r="W20" s="8">
        <f t="shared" si="15"/>
        <v>0</v>
      </c>
      <c r="X20" s="8">
        <f t="shared" si="15"/>
        <v>0</v>
      </c>
      <c r="Y20" s="8">
        <f t="shared" si="15"/>
        <v>0</v>
      </c>
      <c r="Z20" s="8">
        <f t="shared" si="15"/>
        <v>0</v>
      </c>
      <c r="AA20" s="8" t="e">
        <f t="shared" si="15"/>
        <v>#REF!</v>
      </c>
      <c r="AB20" s="8" t="e">
        <f t="shared" si="15"/>
        <v>#VALUE!</v>
      </c>
      <c r="AC20" s="8" t="e">
        <f t="shared" si="15"/>
        <v>#VALUE!</v>
      </c>
      <c r="AD20" s="31" t="e">
        <f t="shared" si="8"/>
        <v>#VALUE!</v>
      </c>
      <c r="AE20" s="34"/>
      <c r="AF20" s="35"/>
      <c r="AG20" s="35"/>
      <c r="AH20" s="2"/>
      <c r="AJ20" s="20"/>
      <c r="AK20" s="20"/>
      <c r="AL20" s="20"/>
      <c r="AM20" s="20"/>
    </row>
    <row r="21" spans="1:41" x14ac:dyDescent="0.25">
      <c r="A21" s="5" t="s">
        <v>35</v>
      </c>
      <c r="B21" s="4">
        <v>40627002</v>
      </c>
      <c r="C21" s="27">
        <v>3385583.5765486476</v>
      </c>
      <c r="D21" s="4">
        <v>3565471</v>
      </c>
      <c r="E21" s="4">
        <f t="shared" si="6"/>
        <v>-179887.4234513524</v>
      </c>
      <c r="F21" s="4">
        <f>+'202501anual'!D60</f>
        <v>4251264.870000001</v>
      </c>
      <c r="G21" s="4">
        <f>+[2]Resultados2023!$D$25</f>
        <v>3491616</v>
      </c>
      <c r="H21" s="4">
        <f>+F21-G21</f>
        <v>759648.87000000104</v>
      </c>
      <c r="I21" s="4">
        <f>+'202501anual'!E60</f>
        <v>4251264.870000001</v>
      </c>
      <c r="J21" s="4">
        <f>+[1]Resultados2023!$E$25</f>
        <v>3505299</v>
      </c>
      <c r="K21" s="4">
        <f t="shared" si="1"/>
        <v>745965.87000000104</v>
      </c>
      <c r="L21" s="4">
        <f>+'202501anual'!F60</f>
        <v>4251264.870000001</v>
      </c>
      <c r="M21" s="4">
        <f>+[3]Resultados2023!$F$25</f>
        <v>3643137</v>
      </c>
      <c r="N21" s="4">
        <f>+L21-M21</f>
        <v>608127.87000000104</v>
      </c>
      <c r="O21" s="4">
        <f>+'202501anual'!G60</f>
        <v>4251264.870000001</v>
      </c>
      <c r="P21" s="4" t="str">
        <f>+[4]Hoja1!$G$25</f>
        <v>NUEVA EPS</v>
      </c>
      <c r="Q21" s="4" t="e">
        <f>+O21-P21</f>
        <v>#VALUE!</v>
      </c>
      <c r="R21" s="4">
        <f>+'202501anual'!H60</f>
        <v>4251264.870000001</v>
      </c>
      <c r="S21" s="4"/>
      <c r="T21" s="4">
        <f>+R21-S21</f>
        <v>4251264.870000001</v>
      </c>
      <c r="U21" s="4"/>
      <c r="V21" s="4"/>
      <c r="W21" s="4"/>
      <c r="X21" s="4"/>
      <c r="Y21" s="4"/>
      <c r="Z21" s="4"/>
      <c r="AA21" s="4">
        <f>+C21+F21+I21+L21+O21+R21</f>
        <v>24641907.926548652</v>
      </c>
      <c r="AB21" s="4" t="e">
        <f>+D21+G21+J21+M21+P21+S21</f>
        <v>#VALUE!</v>
      </c>
      <c r="AC21" s="4" t="e">
        <f>+AA21-AB21</f>
        <v>#VALUE!</v>
      </c>
      <c r="AD21" s="43" t="e">
        <f t="shared" si="8"/>
        <v>#VALUE!</v>
      </c>
      <c r="AE21" s="34"/>
      <c r="AF21" s="38"/>
      <c r="AG21" s="38"/>
      <c r="AH21" s="2"/>
      <c r="AJ21" s="20"/>
      <c r="AK21" s="20"/>
      <c r="AL21" s="20"/>
      <c r="AM21" s="20"/>
    </row>
    <row r="22" spans="1:41" x14ac:dyDescent="0.25">
      <c r="A22" s="5" t="s">
        <v>14</v>
      </c>
      <c r="B22" s="4">
        <v>17458000</v>
      </c>
      <c r="C22" s="4">
        <v>3250000</v>
      </c>
      <c r="D22" s="4">
        <v>31735</v>
      </c>
      <c r="E22" s="4">
        <f t="shared" si="6"/>
        <v>3218265</v>
      </c>
      <c r="F22" s="4">
        <f>+'202501anual'!D61</f>
        <v>277500</v>
      </c>
      <c r="G22" s="4">
        <v>31735</v>
      </c>
      <c r="H22" s="4">
        <f>+F22-G22</f>
        <v>245765</v>
      </c>
      <c r="I22" s="4">
        <f>+'202501anual'!E61</f>
        <v>277500</v>
      </c>
      <c r="J22" s="4" t="e">
        <f>+#REF!</f>
        <v>#REF!</v>
      </c>
      <c r="K22" s="4" t="e">
        <f t="shared" si="1"/>
        <v>#REF!</v>
      </c>
      <c r="L22" s="4">
        <f>+'202501anual'!F61</f>
        <v>277500</v>
      </c>
      <c r="M22" s="4">
        <v>31735</v>
      </c>
      <c r="N22" s="4">
        <f>+L22-M22</f>
        <v>245765</v>
      </c>
      <c r="O22" s="4">
        <f>+'202501anual'!G61</f>
        <v>180000</v>
      </c>
      <c r="P22" s="4">
        <v>31735</v>
      </c>
      <c r="Q22" s="4">
        <f>+O22-P22</f>
        <v>148265</v>
      </c>
      <c r="R22" s="4">
        <f>+'202501anual'!H61</f>
        <v>277500</v>
      </c>
      <c r="S22" s="4"/>
      <c r="T22" s="4">
        <f>+R22-S22</f>
        <v>277500</v>
      </c>
      <c r="U22" s="4"/>
      <c r="V22" s="4"/>
      <c r="W22" s="4"/>
      <c r="X22" s="4"/>
      <c r="Y22" s="4"/>
      <c r="Z22" s="4"/>
      <c r="AA22" s="4">
        <f>+C22+F22+I22+L22+O22+R22</f>
        <v>4540000</v>
      </c>
      <c r="AB22" s="4" t="e">
        <f>+D22+G22+J22+M22+P22+S22</f>
        <v>#REF!</v>
      </c>
      <c r="AC22" s="4" t="e">
        <f>+AA22-AB22</f>
        <v>#REF!</v>
      </c>
      <c r="AD22" s="43" t="e">
        <f t="shared" si="8"/>
        <v>#REF!</v>
      </c>
      <c r="AE22" s="34"/>
      <c r="AF22" s="38"/>
      <c r="AG22" s="38"/>
      <c r="AH22" s="2"/>
      <c r="AJ22" s="20"/>
      <c r="AK22" s="20"/>
      <c r="AL22" s="20"/>
      <c r="AM22" s="20"/>
    </row>
    <row r="23" spans="1:41" x14ac:dyDescent="0.25">
      <c r="A23" s="12" t="s">
        <v>15</v>
      </c>
      <c r="B23" s="8">
        <f>SUM(B21:B22)</f>
        <v>58085002</v>
      </c>
      <c r="C23" s="8">
        <f>SUM(C21:C22)</f>
        <v>6635583.5765486471</v>
      </c>
      <c r="D23" s="8">
        <f t="shared" ref="D23:AC23" si="16">SUM(D21:D22)</f>
        <v>3597206</v>
      </c>
      <c r="E23" s="8">
        <f t="shared" si="16"/>
        <v>3038377.5765486476</v>
      </c>
      <c r="F23" s="8">
        <f t="shared" si="16"/>
        <v>4528764.870000001</v>
      </c>
      <c r="G23" s="8">
        <f t="shared" si="16"/>
        <v>3523351</v>
      </c>
      <c r="H23" s="8">
        <f t="shared" si="16"/>
        <v>1005413.870000001</v>
      </c>
      <c r="I23" s="8">
        <f t="shared" si="16"/>
        <v>4528764.870000001</v>
      </c>
      <c r="J23" s="8" t="e">
        <f t="shared" si="16"/>
        <v>#REF!</v>
      </c>
      <c r="K23" s="8" t="e">
        <f t="shared" si="16"/>
        <v>#REF!</v>
      </c>
      <c r="L23" s="8">
        <f t="shared" si="16"/>
        <v>4528764.870000001</v>
      </c>
      <c r="M23" s="8">
        <f t="shared" si="16"/>
        <v>3674872</v>
      </c>
      <c r="N23" s="8">
        <f t="shared" si="16"/>
        <v>853892.87000000104</v>
      </c>
      <c r="O23" s="8">
        <f t="shared" si="16"/>
        <v>4431264.870000001</v>
      </c>
      <c r="P23" s="8">
        <f t="shared" si="16"/>
        <v>31735</v>
      </c>
      <c r="Q23" s="8" t="e">
        <f t="shared" si="16"/>
        <v>#VALUE!</v>
      </c>
      <c r="R23" s="8">
        <f>+'202501anual'!H62</f>
        <v>4528764.870000001</v>
      </c>
      <c r="S23" s="8">
        <f t="shared" si="16"/>
        <v>0</v>
      </c>
      <c r="T23" s="8">
        <f t="shared" si="16"/>
        <v>4528764.870000001</v>
      </c>
      <c r="U23" s="8">
        <f t="shared" si="16"/>
        <v>0</v>
      </c>
      <c r="V23" s="8">
        <f t="shared" si="16"/>
        <v>0</v>
      </c>
      <c r="W23" s="8">
        <f t="shared" si="16"/>
        <v>0</v>
      </c>
      <c r="X23" s="8">
        <f t="shared" si="16"/>
        <v>0</v>
      </c>
      <c r="Y23" s="8">
        <f t="shared" si="16"/>
        <v>0</v>
      </c>
      <c r="Z23" s="8">
        <f t="shared" si="16"/>
        <v>0</v>
      </c>
      <c r="AA23" s="8">
        <f t="shared" si="16"/>
        <v>29181907.926548652</v>
      </c>
      <c r="AB23" s="8" t="e">
        <f t="shared" si="16"/>
        <v>#VALUE!</v>
      </c>
      <c r="AC23" s="8" t="e">
        <f t="shared" si="16"/>
        <v>#VALUE!</v>
      </c>
      <c r="AD23" s="31" t="e">
        <f>+AC23/AA23</f>
        <v>#VALUE!</v>
      </c>
      <c r="AE23" s="34"/>
      <c r="AF23" s="36"/>
      <c r="AG23" s="36"/>
      <c r="AH23" s="2"/>
      <c r="AJ23" s="20"/>
      <c r="AK23" s="20"/>
      <c r="AL23" s="20"/>
      <c r="AM23" s="20"/>
    </row>
    <row r="24" spans="1:41" x14ac:dyDescent="0.25">
      <c r="A24" s="12" t="s">
        <v>1</v>
      </c>
      <c r="B24" s="8">
        <f>+B23+B20</f>
        <v>6486984324</v>
      </c>
      <c r="C24" s="8">
        <f>+C23+C20</f>
        <v>535813471.90668273</v>
      </c>
      <c r="D24" s="8">
        <f t="shared" ref="D24:AC24" si="17">+D23+D20</f>
        <v>96667100.719999999</v>
      </c>
      <c r="E24" s="8">
        <f t="shared" si="17"/>
        <v>439146371.1866827</v>
      </c>
      <c r="F24" s="8" t="e">
        <f t="shared" si="17"/>
        <v>#REF!</v>
      </c>
      <c r="G24" s="8">
        <f t="shared" si="17"/>
        <v>175590116.28</v>
      </c>
      <c r="H24" s="8" t="e">
        <f t="shared" si="17"/>
        <v>#REF!</v>
      </c>
      <c r="I24" s="8" t="e">
        <f t="shared" si="17"/>
        <v>#REF!</v>
      </c>
      <c r="J24" s="8" t="e">
        <f t="shared" si="17"/>
        <v>#REF!</v>
      </c>
      <c r="K24" s="8" t="e">
        <f t="shared" si="17"/>
        <v>#REF!</v>
      </c>
      <c r="L24" s="8" t="e">
        <f t="shared" si="17"/>
        <v>#REF!</v>
      </c>
      <c r="M24" s="8" t="e">
        <f t="shared" si="17"/>
        <v>#REF!</v>
      </c>
      <c r="N24" s="8" t="e">
        <f t="shared" si="17"/>
        <v>#REF!</v>
      </c>
      <c r="O24" s="8" t="e">
        <f t="shared" si="17"/>
        <v>#REF!</v>
      </c>
      <c r="P24" s="8" t="e">
        <f t="shared" si="17"/>
        <v>#REF!</v>
      </c>
      <c r="Q24" s="8" t="e">
        <f t="shared" si="17"/>
        <v>#VALUE!</v>
      </c>
      <c r="R24" s="8">
        <f>+'202501anual'!H63</f>
        <v>159136428.87</v>
      </c>
      <c r="S24" s="8" t="e">
        <f t="shared" si="17"/>
        <v>#REF!</v>
      </c>
      <c r="T24" s="8" t="e">
        <f t="shared" si="17"/>
        <v>#REF!</v>
      </c>
      <c r="U24" s="8">
        <f t="shared" si="17"/>
        <v>0</v>
      </c>
      <c r="V24" s="8">
        <f t="shared" si="17"/>
        <v>0</v>
      </c>
      <c r="W24" s="8">
        <f t="shared" si="17"/>
        <v>0</v>
      </c>
      <c r="X24" s="8">
        <f t="shared" si="17"/>
        <v>0</v>
      </c>
      <c r="Y24" s="8">
        <f t="shared" si="17"/>
        <v>0</v>
      </c>
      <c r="Z24" s="8">
        <f t="shared" si="17"/>
        <v>0</v>
      </c>
      <c r="AA24" s="8" t="e">
        <f t="shared" si="17"/>
        <v>#REF!</v>
      </c>
      <c r="AB24" s="8" t="e">
        <f t="shared" si="17"/>
        <v>#VALUE!</v>
      </c>
      <c r="AC24" s="8" t="e">
        <f t="shared" si="17"/>
        <v>#VALUE!</v>
      </c>
      <c r="AD24" s="31" t="e">
        <f>+AC24/AA24</f>
        <v>#VALUE!</v>
      </c>
      <c r="AE24" s="34" t="e">
        <f>+H24/F24</f>
        <v>#REF!</v>
      </c>
      <c r="AF24" s="35" t="e">
        <f>+Q24/O24*100</f>
        <v>#VALUE!</v>
      </c>
      <c r="AG24" s="35"/>
      <c r="AH24" s="2"/>
      <c r="AI24" s="2"/>
      <c r="AJ24" s="20"/>
      <c r="AK24" s="20"/>
      <c r="AL24" s="20"/>
      <c r="AM24" s="20"/>
    </row>
    <row r="25" spans="1:41" x14ac:dyDescent="0.25">
      <c r="A25" s="22" t="s">
        <v>58</v>
      </c>
      <c r="B25" s="4">
        <v>1516052727</v>
      </c>
      <c r="C25" s="4">
        <v>126337727.3946867</v>
      </c>
      <c r="D25" s="4">
        <v>96267509.640000001</v>
      </c>
      <c r="E25" s="4">
        <f t="shared" ref="E25:E86" si="18">+C25-D25</f>
        <v>30070217.754686698</v>
      </c>
      <c r="F25" s="4">
        <f>+'202501anual'!D64</f>
        <v>120967250</v>
      </c>
      <c r="G25" s="4">
        <f>+[2]Resultados2023!$D$39-[2]Resultados2023!$D$55-[2]Resultados2023!$C$55</f>
        <v>89823865.359999999</v>
      </c>
      <c r="H25" s="4">
        <f t="shared" ref="H25:H86" si="19">+F25-G25</f>
        <v>31143384.640000001</v>
      </c>
      <c r="I25" s="4">
        <f>+'202501anual'!E64</f>
        <v>120967250</v>
      </c>
      <c r="J25" s="4">
        <f>+[1]Resultados2023!$E$39-2640011</f>
        <v>96979851.420000002</v>
      </c>
      <c r="K25" s="4">
        <f t="shared" ref="K25:K33" si="20">+I25-J25</f>
        <v>23987398.579999998</v>
      </c>
      <c r="L25" s="4">
        <f>+'202501anual'!F64</f>
        <v>120967250</v>
      </c>
      <c r="M25" s="4">
        <f>+[3]Resultados2023!$F$39</f>
        <v>106508725.89</v>
      </c>
      <c r="N25" s="4">
        <f t="shared" ref="N25:N33" si="21">+L25-M25</f>
        <v>14458524.109999999</v>
      </c>
      <c r="O25" s="4">
        <f>+'202501anual'!G64</f>
        <v>120967250</v>
      </c>
      <c r="P25" s="4" t="str">
        <f>+[4]Hoja1!$G$39</f>
        <v>NUEVA EPS</v>
      </c>
      <c r="Q25" s="4" t="e">
        <f t="shared" ref="Q25:Q33" si="22">+O25-P25</f>
        <v>#VALUE!</v>
      </c>
      <c r="R25" s="4">
        <f>+'202501anual'!H64</f>
        <v>120967250</v>
      </c>
      <c r="S25" s="4"/>
      <c r="T25" s="4">
        <f t="shared" ref="T25:T33" si="23">+R25-S25</f>
        <v>120967250</v>
      </c>
      <c r="U25" s="4"/>
      <c r="V25" s="4"/>
      <c r="W25" s="4"/>
      <c r="X25" s="4"/>
      <c r="Y25" s="4"/>
      <c r="Z25" s="4"/>
      <c r="AA25" s="4">
        <f t="shared" ref="AA25:AB33" si="24">+C25+F25+I25+L25+O25+R25</f>
        <v>731173977.3946867</v>
      </c>
      <c r="AB25" s="4" t="e">
        <f t="shared" si="24"/>
        <v>#VALUE!</v>
      </c>
      <c r="AC25" s="4" t="e">
        <f t="shared" ref="AC25:AC33" si="25">+AA25-AB25</f>
        <v>#VALUE!</v>
      </c>
      <c r="AD25" s="43" t="e">
        <f>+AC25/AA25*100</f>
        <v>#VALUE!</v>
      </c>
      <c r="AE25" s="34"/>
      <c r="AF25" s="38"/>
      <c r="AG25" s="38"/>
      <c r="AH25" s="2"/>
      <c r="AI25" s="37"/>
      <c r="AJ25" s="20"/>
      <c r="AK25" s="20"/>
      <c r="AL25" s="20"/>
      <c r="AM25" s="20"/>
    </row>
    <row r="26" spans="1:41" ht="60" x14ac:dyDescent="0.25">
      <c r="A26" s="21" t="s">
        <v>65</v>
      </c>
      <c r="B26" s="4">
        <v>254272041</v>
      </c>
      <c r="C26" s="4">
        <v>20972282.5</v>
      </c>
      <c r="D26" s="4">
        <v>0</v>
      </c>
      <c r="E26" s="4">
        <f t="shared" si="18"/>
        <v>20972282.5</v>
      </c>
      <c r="F26" s="4">
        <f>+'202501anual'!D65</f>
        <v>0</v>
      </c>
      <c r="G26" s="10">
        <v>0</v>
      </c>
      <c r="H26" s="4">
        <f t="shared" si="19"/>
        <v>0</v>
      </c>
      <c r="I26" s="4">
        <f>+'202501anual'!E65</f>
        <v>0</v>
      </c>
      <c r="J26" s="10">
        <v>0</v>
      </c>
      <c r="K26" s="4">
        <f t="shared" si="20"/>
        <v>0</v>
      </c>
      <c r="L26" s="4">
        <f>+'202501anual'!F65</f>
        <v>0</v>
      </c>
      <c r="M26" s="4" t="e">
        <f>+#REF!</f>
        <v>#REF!</v>
      </c>
      <c r="N26" s="4" t="e">
        <f t="shared" si="21"/>
        <v>#REF!</v>
      </c>
      <c r="O26" s="4">
        <f>+'202501anual'!G65</f>
        <v>0</v>
      </c>
      <c r="P26" s="10">
        <v>0</v>
      </c>
      <c r="Q26" s="4">
        <f t="shared" si="22"/>
        <v>0</v>
      </c>
      <c r="R26" s="4">
        <f>+'202501anual'!H65</f>
        <v>0</v>
      </c>
      <c r="S26" s="10">
        <v>0</v>
      </c>
      <c r="T26" s="4">
        <f t="shared" si="23"/>
        <v>0</v>
      </c>
      <c r="U26" s="10"/>
      <c r="V26" s="10"/>
      <c r="W26" s="10"/>
      <c r="X26" s="10"/>
      <c r="Y26" s="10"/>
      <c r="Z26" s="10"/>
      <c r="AA26" s="4">
        <f t="shared" si="24"/>
        <v>20972282.5</v>
      </c>
      <c r="AB26" s="4" t="e">
        <f t="shared" si="24"/>
        <v>#REF!</v>
      </c>
      <c r="AC26" s="4" t="e">
        <f t="shared" si="25"/>
        <v>#REF!</v>
      </c>
      <c r="AD26" s="43" t="e">
        <f t="shared" ref="AD26:AD31" si="26">+AC26/AA26*100</f>
        <v>#REF!</v>
      </c>
      <c r="AE26" s="34"/>
      <c r="AF26" s="38"/>
      <c r="AG26" s="38"/>
      <c r="AH26" s="2"/>
      <c r="AI26" s="37"/>
      <c r="AJ26" s="20"/>
      <c r="AK26" s="20"/>
    </row>
    <row r="27" spans="1:41" x14ac:dyDescent="0.25">
      <c r="A27" s="5" t="s">
        <v>16</v>
      </c>
      <c r="B27" s="4">
        <v>36000000</v>
      </c>
      <c r="C27" s="4">
        <f>40654560-28654560</f>
        <v>12000000</v>
      </c>
      <c r="D27" s="4">
        <v>31735</v>
      </c>
      <c r="E27" s="4">
        <f t="shared" si="18"/>
        <v>11968265</v>
      </c>
      <c r="F27" s="4">
        <f>+'202501anual'!D66</f>
        <v>0</v>
      </c>
      <c r="G27" s="4">
        <v>31735</v>
      </c>
      <c r="H27" s="4">
        <f t="shared" si="19"/>
        <v>-31735</v>
      </c>
      <c r="I27" s="4">
        <f>+'202501anual'!E66</f>
        <v>0</v>
      </c>
      <c r="J27" s="4" t="e">
        <f>+#REF!</f>
        <v>#REF!</v>
      </c>
      <c r="K27" s="4" t="e">
        <f t="shared" si="20"/>
        <v>#REF!</v>
      </c>
      <c r="L27" s="4">
        <f>+'202501anual'!F66</f>
        <v>0</v>
      </c>
      <c r="M27" s="4" t="e">
        <f>+#REF!</f>
        <v>#REF!</v>
      </c>
      <c r="N27" s="4" t="e">
        <f t="shared" si="21"/>
        <v>#REF!</v>
      </c>
      <c r="O27" s="4">
        <f>+'202501anual'!G66</f>
        <v>0</v>
      </c>
      <c r="P27" s="4" t="e">
        <f>+#REF!</f>
        <v>#REF!</v>
      </c>
      <c r="Q27" s="4" t="e">
        <f t="shared" si="22"/>
        <v>#REF!</v>
      </c>
      <c r="R27" s="4">
        <f>+'202501anual'!H66</f>
        <v>0</v>
      </c>
      <c r="S27" s="4" t="e">
        <f>+#REF!</f>
        <v>#REF!</v>
      </c>
      <c r="T27" s="4" t="e">
        <f t="shared" si="23"/>
        <v>#REF!</v>
      </c>
      <c r="U27" s="4"/>
      <c r="V27" s="4"/>
      <c r="W27" s="4"/>
      <c r="X27" s="4"/>
      <c r="Y27" s="4"/>
      <c r="Z27" s="4"/>
      <c r="AA27" s="4">
        <f t="shared" si="24"/>
        <v>12000000</v>
      </c>
      <c r="AB27" s="4" t="e">
        <f t="shared" si="24"/>
        <v>#REF!</v>
      </c>
      <c r="AC27" s="4" t="e">
        <f t="shared" si="25"/>
        <v>#REF!</v>
      </c>
      <c r="AD27" s="43" t="e">
        <f t="shared" si="26"/>
        <v>#REF!</v>
      </c>
      <c r="AE27" s="34"/>
      <c r="AF27" s="38"/>
      <c r="AG27" s="38"/>
      <c r="AH27" s="2"/>
      <c r="AI27" s="2"/>
    </row>
    <row r="28" spans="1:41" x14ac:dyDescent="0.25">
      <c r="A28" s="5" t="s">
        <v>17</v>
      </c>
      <c r="B28" s="46">
        <f>8582072214-7200000000-720000000</f>
        <v>662072214</v>
      </c>
      <c r="C28" s="4">
        <v>55867726.200000003</v>
      </c>
      <c r="D28" s="4">
        <v>1086170</v>
      </c>
      <c r="E28" s="4">
        <f t="shared" si="18"/>
        <v>54781556.200000003</v>
      </c>
      <c r="F28" s="4">
        <f>+'202501anual'!D69</f>
        <v>51850000</v>
      </c>
      <c r="G28" s="4">
        <f>63470+22169100</f>
        <v>22232570</v>
      </c>
      <c r="H28" s="4">
        <f t="shared" si="19"/>
        <v>29617430</v>
      </c>
      <c r="I28" s="4">
        <f>+'202501anual'!E69</f>
        <v>51850000</v>
      </c>
      <c r="J28" s="4" t="e">
        <f>+#REF!</f>
        <v>#REF!</v>
      </c>
      <c r="K28" s="4" t="e">
        <f t="shared" si="20"/>
        <v>#REF!</v>
      </c>
      <c r="L28" s="4">
        <f>+'202501anual'!F69</f>
        <v>51850000</v>
      </c>
      <c r="M28" s="4" t="e">
        <f>+#REF!</f>
        <v>#REF!</v>
      </c>
      <c r="N28" s="4" t="e">
        <f t="shared" si="21"/>
        <v>#REF!</v>
      </c>
      <c r="O28" s="4">
        <f>+'202501anual'!G69</f>
        <v>51850000</v>
      </c>
      <c r="P28" s="4" t="e">
        <f>+#REF!</f>
        <v>#REF!</v>
      </c>
      <c r="Q28" s="4" t="e">
        <f t="shared" si="22"/>
        <v>#REF!</v>
      </c>
      <c r="R28" s="46">
        <f>+'202501anual'!H69-7200000000-720000000</f>
        <v>-7868150000</v>
      </c>
      <c r="S28" s="4" t="e">
        <f>+#REF!</f>
        <v>#REF!</v>
      </c>
      <c r="T28" s="4" t="e">
        <f t="shared" si="23"/>
        <v>#REF!</v>
      </c>
      <c r="U28" s="4"/>
      <c r="V28" s="4"/>
      <c r="W28" s="4"/>
      <c r="X28" s="4"/>
      <c r="Y28" s="4"/>
      <c r="Z28" s="4"/>
      <c r="AA28" s="4">
        <f t="shared" si="24"/>
        <v>-7604882273.8000002</v>
      </c>
      <c r="AB28" s="4" t="e">
        <f t="shared" si="24"/>
        <v>#REF!</v>
      </c>
      <c r="AC28" s="4" t="e">
        <f t="shared" si="25"/>
        <v>#REF!</v>
      </c>
      <c r="AD28" s="43" t="e">
        <f t="shared" si="26"/>
        <v>#REF!</v>
      </c>
      <c r="AE28" s="34"/>
      <c r="AF28" s="38"/>
      <c r="AG28" s="38"/>
      <c r="AH28" s="2"/>
      <c r="AI28" s="2"/>
    </row>
    <row r="29" spans="1:41" x14ac:dyDescent="0.25">
      <c r="A29" s="5" t="s">
        <v>7</v>
      </c>
      <c r="B29" s="4">
        <f>1481563987+36650001</f>
        <v>1518213988</v>
      </c>
      <c r="C29" s="4">
        <v>95543915.599999994</v>
      </c>
      <c r="D29" s="4">
        <v>8641952</v>
      </c>
      <c r="E29" s="4">
        <f t="shared" si="18"/>
        <v>86901963.599999994</v>
      </c>
      <c r="F29" s="4">
        <f>+'202501anual'!D74</f>
        <v>13400000</v>
      </c>
      <c r="G29" s="4">
        <f>64000000+31775</f>
        <v>64031775</v>
      </c>
      <c r="H29" s="4">
        <f t="shared" si="19"/>
        <v>-50631775</v>
      </c>
      <c r="I29" s="4">
        <f>+'202501anual'!E74</f>
        <v>32400000</v>
      </c>
      <c r="J29" s="4" t="e">
        <f>+#REF!</f>
        <v>#REF!</v>
      </c>
      <c r="K29" s="4" t="e">
        <f t="shared" si="20"/>
        <v>#REF!</v>
      </c>
      <c r="L29" s="4">
        <f>+'202501anual'!F74</f>
        <v>33400000</v>
      </c>
      <c r="M29" s="4" t="e">
        <f>+#REF!</f>
        <v>#REF!</v>
      </c>
      <c r="N29" s="4" t="e">
        <f t="shared" si="21"/>
        <v>#REF!</v>
      </c>
      <c r="O29" s="4">
        <f>+'202501anual'!G74</f>
        <v>21400000</v>
      </c>
      <c r="P29" s="4" t="e">
        <f>+#REF!</f>
        <v>#REF!</v>
      </c>
      <c r="Q29" s="4" t="e">
        <f t="shared" si="22"/>
        <v>#REF!</v>
      </c>
      <c r="R29" s="4">
        <f>+'202501anual'!H74</f>
        <v>26400000</v>
      </c>
      <c r="S29" s="4" t="e">
        <f>+#REF!</f>
        <v>#REF!</v>
      </c>
      <c r="T29" s="4" t="e">
        <f t="shared" si="23"/>
        <v>#REF!</v>
      </c>
      <c r="U29" s="4"/>
      <c r="V29" s="4"/>
      <c r="W29" s="4"/>
      <c r="X29" s="4"/>
      <c r="Y29" s="4"/>
      <c r="Z29" s="4"/>
      <c r="AA29" s="4">
        <f t="shared" si="24"/>
        <v>222543915.59999999</v>
      </c>
      <c r="AB29" s="4" t="e">
        <f t="shared" si="24"/>
        <v>#REF!</v>
      </c>
      <c r="AC29" s="4" t="e">
        <f t="shared" si="25"/>
        <v>#REF!</v>
      </c>
      <c r="AD29" s="43" t="e">
        <f t="shared" si="26"/>
        <v>#REF!</v>
      </c>
      <c r="AE29" s="34"/>
      <c r="AF29" s="38"/>
      <c r="AG29" s="38"/>
      <c r="AH29" s="2"/>
      <c r="AI29" s="2"/>
    </row>
    <row r="30" spans="1:41" x14ac:dyDescent="0.25">
      <c r="A30" s="5" t="s">
        <v>57</v>
      </c>
      <c r="B30" s="46">
        <f>737281080-10000000-10000000</f>
        <v>717281080</v>
      </c>
      <c r="C30" s="4">
        <v>133706950</v>
      </c>
      <c r="D30" s="4">
        <v>117651</v>
      </c>
      <c r="E30" s="4">
        <f t="shared" si="18"/>
        <v>133589299</v>
      </c>
      <c r="F30" s="4">
        <f>+'202501anual'!D88</f>
        <v>11389500</v>
      </c>
      <c r="G30" s="4">
        <f>3454434+117651+3000000</f>
        <v>6572085</v>
      </c>
      <c r="H30" s="4">
        <f t="shared" si="19"/>
        <v>4817415</v>
      </c>
      <c r="I30" s="4">
        <f>+'202501anual'!E88</f>
        <v>27889500</v>
      </c>
      <c r="J30" s="4" t="e">
        <f>+#REF!</f>
        <v>#REF!</v>
      </c>
      <c r="K30" s="4" t="e">
        <f t="shared" si="20"/>
        <v>#REF!</v>
      </c>
      <c r="L30" s="4">
        <f>+'202501anual'!F88</f>
        <v>17889500</v>
      </c>
      <c r="M30" s="4" t="e">
        <f>+#REF!</f>
        <v>#REF!</v>
      </c>
      <c r="N30" s="4" t="e">
        <f t="shared" si="21"/>
        <v>#REF!</v>
      </c>
      <c r="O30" s="4">
        <f>+'202501anual'!G88</f>
        <v>4850000</v>
      </c>
      <c r="P30" s="4" t="e">
        <f>+#REF!</f>
        <v>#REF!</v>
      </c>
      <c r="Q30" s="4" t="e">
        <f t="shared" si="22"/>
        <v>#REF!</v>
      </c>
      <c r="R30" s="46">
        <f>+'202501anual'!H88-10000000-10000000</f>
        <v>-12686500</v>
      </c>
      <c r="S30" s="4" t="e">
        <f>+#REF!</f>
        <v>#REF!</v>
      </c>
      <c r="T30" s="4" t="e">
        <f t="shared" si="23"/>
        <v>#REF!</v>
      </c>
      <c r="U30" s="4"/>
      <c r="V30" s="4"/>
      <c r="W30" s="4"/>
      <c r="X30" s="4"/>
      <c r="Y30" s="4"/>
      <c r="Z30" s="4"/>
      <c r="AA30" s="4">
        <f t="shared" si="24"/>
        <v>183038950</v>
      </c>
      <c r="AB30" s="4" t="e">
        <f t="shared" si="24"/>
        <v>#REF!</v>
      </c>
      <c r="AC30" s="4" t="e">
        <f t="shared" si="25"/>
        <v>#REF!</v>
      </c>
      <c r="AD30" s="43" t="e">
        <f t="shared" si="26"/>
        <v>#REF!</v>
      </c>
      <c r="AE30" s="34"/>
      <c r="AF30" s="38"/>
      <c r="AG30" s="38"/>
      <c r="AH30" s="2"/>
      <c r="AI30" s="2"/>
    </row>
    <row r="31" spans="1:41" x14ac:dyDescent="0.25">
      <c r="A31" s="5" t="s">
        <v>66</v>
      </c>
      <c r="B31" s="4">
        <f>47254560+28654560</f>
        <v>75909120</v>
      </c>
      <c r="C31" s="4">
        <v>72609120</v>
      </c>
      <c r="D31" s="4">
        <v>0</v>
      </c>
      <c r="E31" s="4">
        <f t="shared" si="18"/>
        <v>72609120</v>
      </c>
      <c r="F31" s="4">
        <f>+'202501anual'!D99</f>
        <v>0</v>
      </c>
      <c r="G31" s="4">
        <v>0</v>
      </c>
      <c r="H31" s="4">
        <f t="shared" si="19"/>
        <v>0</v>
      </c>
      <c r="I31" s="4">
        <f>+'202501anual'!E99</f>
        <v>0</v>
      </c>
      <c r="J31" s="4">
        <v>0</v>
      </c>
      <c r="K31" s="4">
        <f t="shared" si="20"/>
        <v>0</v>
      </c>
      <c r="L31" s="4">
        <f>+'202501anual'!F99</f>
        <v>0</v>
      </c>
      <c r="M31" s="4">
        <v>0</v>
      </c>
      <c r="N31" s="4">
        <f t="shared" si="21"/>
        <v>0</v>
      </c>
      <c r="O31" s="4">
        <f>+'202501anual'!G99</f>
        <v>0</v>
      </c>
      <c r="P31" s="4">
        <v>0</v>
      </c>
      <c r="Q31" s="4">
        <f t="shared" si="22"/>
        <v>0</v>
      </c>
      <c r="R31" s="4">
        <f>+'202501anual'!H99</f>
        <v>0</v>
      </c>
      <c r="S31" s="4">
        <v>0</v>
      </c>
      <c r="T31" s="4">
        <f t="shared" si="23"/>
        <v>0</v>
      </c>
      <c r="U31" s="4"/>
      <c r="V31" s="4"/>
      <c r="W31" s="4"/>
      <c r="X31" s="4"/>
      <c r="Y31" s="4"/>
      <c r="Z31" s="4"/>
      <c r="AA31" s="4">
        <f t="shared" si="24"/>
        <v>72609120</v>
      </c>
      <c r="AB31" s="4">
        <f t="shared" si="24"/>
        <v>0</v>
      </c>
      <c r="AC31" s="4">
        <f t="shared" si="25"/>
        <v>72609120</v>
      </c>
      <c r="AD31" s="43">
        <f t="shared" si="26"/>
        <v>100</v>
      </c>
      <c r="AE31" s="34"/>
      <c r="AF31" s="38"/>
      <c r="AG31" s="38"/>
      <c r="AH31" s="2"/>
      <c r="AI31" s="2"/>
    </row>
    <row r="32" spans="1:41" x14ac:dyDescent="0.25">
      <c r="A32" s="5" t="s">
        <v>90</v>
      </c>
      <c r="B32" s="46">
        <f>1500000000-1500000000</f>
        <v>0</v>
      </c>
      <c r="C32" s="4">
        <v>0</v>
      </c>
      <c r="D32" s="4">
        <v>0</v>
      </c>
      <c r="E32" s="4">
        <f t="shared" si="18"/>
        <v>0</v>
      </c>
      <c r="F32" s="4" t="e">
        <f>+'202501anual'!#REF!</f>
        <v>#REF!</v>
      </c>
      <c r="G32" s="4">
        <v>0</v>
      </c>
      <c r="H32" s="4" t="e">
        <f t="shared" si="19"/>
        <v>#REF!</v>
      </c>
      <c r="I32" s="4" t="e">
        <f>+'202501anual'!#REF!</f>
        <v>#REF!</v>
      </c>
      <c r="J32" s="4">
        <v>0</v>
      </c>
      <c r="K32" s="4" t="e">
        <f t="shared" si="20"/>
        <v>#REF!</v>
      </c>
      <c r="L32" s="4" t="e">
        <f>+'202501anual'!#REF!</f>
        <v>#REF!</v>
      </c>
      <c r="M32" s="4">
        <v>0</v>
      </c>
      <c r="N32" s="4" t="e">
        <f t="shared" si="21"/>
        <v>#REF!</v>
      </c>
      <c r="O32" s="4" t="e">
        <f>+'202501anual'!#REF!</f>
        <v>#REF!</v>
      </c>
      <c r="P32" s="4">
        <v>0</v>
      </c>
      <c r="Q32" s="4" t="e">
        <f t="shared" si="22"/>
        <v>#REF!</v>
      </c>
      <c r="R32" s="46">
        <v>-1500000000</v>
      </c>
      <c r="S32" s="4">
        <v>0</v>
      </c>
      <c r="T32" s="4">
        <f t="shared" si="23"/>
        <v>-1500000000</v>
      </c>
      <c r="U32" s="4"/>
      <c r="V32" s="4"/>
      <c r="W32" s="4"/>
      <c r="X32" s="4"/>
      <c r="Y32" s="4"/>
      <c r="Z32" s="4"/>
      <c r="AA32" s="4" t="e">
        <f t="shared" si="24"/>
        <v>#REF!</v>
      </c>
      <c r="AB32" s="4">
        <f t="shared" si="24"/>
        <v>0</v>
      </c>
      <c r="AC32" s="4" t="e">
        <f t="shared" si="25"/>
        <v>#REF!</v>
      </c>
      <c r="AD32" s="43">
        <v>0</v>
      </c>
      <c r="AE32" s="34"/>
      <c r="AF32" s="38"/>
      <c r="AG32" s="38"/>
      <c r="AH32" s="2"/>
      <c r="AI32" s="2"/>
    </row>
    <row r="33" spans="1:38" x14ac:dyDescent="0.25">
      <c r="A33" s="5" t="s">
        <v>91</v>
      </c>
      <c r="B33" s="46">
        <f>150000000-150000000</f>
        <v>0</v>
      </c>
      <c r="C33" s="4">
        <v>0</v>
      </c>
      <c r="D33" s="4">
        <v>0</v>
      </c>
      <c r="E33" s="4">
        <f t="shared" si="18"/>
        <v>0</v>
      </c>
      <c r="F33" s="4" t="e">
        <f>+'202501anual'!#REF!</f>
        <v>#REF!</v>
      </c>
      <c r="G33" s="4">
        <v>0</v>
      </c>
      <c r="H33" s="4" t="e">
        <f t="shared" si="19"/>
        <v>#REF!</v>
      </c>
      <c r="I33" s="4" t="e">
        <f>+'202501anual'!#REF!</f>
        <v>#REF!</v>
      </c>
      <c r="J33" s="4">
        <v>0</v>
      </c>
      <c r="K33" s="4" t="e">
        <f t="shared" si="20"/>
        <v>#REF!</v>
      </c>
      <c r="L33" s="4" t="e">
        <f>+'202501anual'!#REF!</f>
        <v>#REF!</v>
      </c>
      <c r="M33" s="4">
        <v>0</v>
      </c>
      <c r="N33" s="4" t="e">
        <f t="shared" si="21"/>
        <v>#REF!</v>
      </c>
      <c r="O33" s="4" t="e">
        <f>+'202501anual'!#REF!</f>
        <v>#REF!</v>
      </c>
      <c r="P33" s="4">
        <v>0</v>
      </c>
      <c r="Q33" s="4" t="e">
        <f t="shared" si="22"/>
        <v>#REF!</v>
      </c>
      <c r="R33" s="46">
        <v>-150000000</v>
      </c>
      <c r="S33" s="4">
        <v>0</v>
      </c>
      <c r="T33" s="4">
        <f t="shared" si="23"/>
        <v>-150000000</v>
      </c>
      <c r="U33" s="4"/>
      <c r="V33" s="4"/>
      <c r="W33" s="4"/>
      <c r="X33" s="4"/>
      <c r="Y33" s="4"/>
      <c r="Z33" s="4"/>
      <c r="AA33" s="4" t="e">
        <f t="shared" si="24"/>
        <v>#REF!</v>
      </c>
      <c r="AB33" s="4">
        <f t="shared" si="24"/>
        <v>0</v>
      </c>
      <c r="AC33" s="4" t="e">
        <f t="shared" si="25"/>
        <v>#REF!</v>
      </c>
      <c r="AD33" s="43">
        <v>0</v>
      </c>
      <c r="AE33" s="34"/>
      <c r="AF33" s="38" t="e">
        <f>+Q34/O34*100</f>
        <v>#VALUE!</v>
      </c>
      <c r="AG33" s="38"/>
      <c r="AH33" s="2"/>
      <c r="AI33" s="2"/>
    </row>
    <row r="34" spans="1:38" x14ac:dyDescent="0.25">
      <c r="A34" s="12" t="s">
        <v>52</v>
      </c>
      <c r="B34" s="8">
        <f>SUM(B25:B33)</f>
        <v>4779801170</v>
      </c>
      <c r="C34" s="8">
        <f>SUM(C25:C33)</f>
        <v>517037721.69468665</v>
      </c>
      <c r="D34" s="8">
        <f t="shared" ref="D34:AA34" si="27">SUM(D25:D33)</f>
        <v>106145017.64</v>
      </c>
      <c r="E34" s="8">
        <f t="shared" si="27"/>
        <v>410892704.05468667</v>
      </c>
      <c r="F34" s="8" t="e">
        <f>SUM(F25:F33)</f>
        <v>#REF!</v>
      </c>
      <c r="G34" s="8">
        <f t="shared" si="27"/>
        <v>182692030.36000001</v>
      </c>
      <c r="H34" s="8" t="e">
        <f t="shared" si="27"/>
        <v>#REF!</v>
      </c>
      <c r="I34" s="8" t="e">
        <f t="shared" si="27"/>
        <v>#REF!</v>
      </c>
      <c r="J34" s="8" t="e">
        <f t="shared" si="27"/>
        <v>#REF!</v>
      </c>
      <c r="K34" s="8" t="e">
        <f t="shared" si="27"/>
        <v>#REF!</v>
      </c>
      <c r="L34" s="8" t="e">
        <f t="shared" si="27"/>
        <v>#REF!</v>
      </c>
      <c r="M34" s="8" t="e">
        <f t="shared" si="27"/>
        <v>#REF!</v>
      </c>
      <c r="N34" s="8" t="e">
        <f t="shared" si="27"/>
        <v>#REF!</v>
      </c>
      <c r="O34" s="8" t="e">
        <f t="shared" si="27"/>
        <v>#REF!</v>
      </c>
      <c r="P34" s="8" t="e">
        <f t="shared" si="27"/>
        <v>#REF!</v>
      </c>
      <c r="Q34" s="8" t="e">
        <f t="shared" si="27"/>
        <v>#VALUE!</v>
      </c>
      <c r="R34" s="8">
        <f t="shared" si="27"/>
        <v>-9383469250</v>
      </c>
      <c r="S34" s="8" t="e">
        <f t="shared" si="27"/>
        <v>#REF!</v>
      </c>
      <c r="T34" s="8" t="e">
        <f t="shared" si="27"/>
        <v>#REF!</v>
      </c>
      <c r="U34" s="8">
        <f t="shared" si="27"/>
        <v>0</v>
      </c>
      <c r="V34" s="8">
        <f t="shared" si="27"/>
        <v>0</v>
      </c>
      <c r="W34" s="8">
        <f t="shared" si="27"/>
        <v>0</v>
      </c>
      <c r="X34" s="8">
        <f t="shared" si="27"/>
        <v>0</v>
      </c>
      <c r="Y34" s="8">
        <f t="shared" si="27"/>
        <v>0</v>
      </c>
      <c r="Z34" s="8">
        <f t="shared" si="27"/>
        <v>0</v>
      </c>
      <c r="AA34" s="8" t="e">
        <f t="shared" si="27"/>
        <v>#REF!</v>
      </c>
      <c r="AB34" s="8" t="e">
        <f>SUM(AB25:AB33)</f>
        <v>#VALUE!</v>
      </c>
      <c r="AC34" s="8" t="e">
        <f>SUM(AC25:AC33)</f>
        <v>#VALUE!</v>
      </c>
      <c r="AD34" s="31" t="e">
        <f>+AC34/AA34</f>
        <v>#VALUE!</v>
      </c>
      <c r="AE34" s="34" t="e">
        <f>+H34/F34</f>
        <v>#REF!</v>
      </c>
      <c r="AF34" s="39">
        <f>100-63</f>
        <v>37</v>
      </c>
      <c r="AG34" s="45" t="e">
        <f>+N34/L34*100</f>
        <v>#REF!</v>
      </c>
      <c r="AH34" s="2"/>
    </row>
    <row r="35" spans="1:38" x14ac:dyDescent="0.25">
      <c r="A35" s="5" t="s">
        <v>54</v>
      </c>
      <c r="B35" s="4">
        <v>315108512</v>
      </c>
      <c r="C35" s="4">
        <v>26259042.681200095</v>
      </c>
      <c r="D35" s="4">
        <v>20905207</v>
      </c>
      <c r="E35" s="4">
        <f t="shared" si="18"/>
        <v>5353835.6812000945</v>
      </c>
      <c r="F35" s="4">
        <f>+'202501anual'!D101</f>
        <v>34751494.4218596</v>
      </c>
      <c r="G35" s="4">
        <f>27167981-[2]Resultados2023!$C$130-4802535</f>
        <v>22015542</v>
      </c>
      <c r="H35" s="4">
        <f t="shared" si="19"/>
        <v>12735952.4218596</v>
      </c>
      <c r="I35" s="4">
        <f>+'202501anual'!E101</f>
        <v>34751494.4218596</v>
      </c>
      <c r="J35" s="4">
        <f>45708144.09-J36-1028181</f>
        <v>22383681.090000004</v>
      </c>
      <c r="K35" s="4">
        <f t="shared" ref="K35:K86" si="28">+I35-J35</f>
        <v>12367813.331859596</v>
      </c>
      <c r="L35" s="4">
        <f>+'202501anual'!F101</f>
        <v>34751494.4218596</v>
      </c>
      <c r="M35" s="4">
        <f>32442461-4802535</f>
        <v>27639926</v>
      </c>
      <c r="N35" s="4">
        <f t="shared" ref="N35:N86" si="29">+L35-M35</f>
        <v>7111568.4218595996</v>
      </c>
      <c r="O35" s="4">
        <f>+'202501anual'!G101</f>
        <v>34751494.4218596</v>
      </c>
      <c r="P35" s="4">
        <v>27521103</v>
      </c>
      <c r="Q35" s="4">
        <f t="shared" ref="Q35:Q86" si="30">+O35-P35</f>
        <v>7230391.4218595996</v>
      </c>
      <c r="R35" s="4">
        <f>+'202501anual'!H101</f>
        <v>34751494.4218596</v>
      </c>
      <c r="S35" s="4"/>
      <c r="T35" s="4">
        <f t="shared" ref="T35:T86" si="31">+R35-S35</f>
        <v>34751494.4218596</v>
      </c>
      <c r="U35" s="4"/>
      <c r="V35" s="4"/>
      <c r="W35" s="4"/>
      <c r="X35" s="4"/>
      <c r="Y35" s="4"/>
      <c r="Z35" s="4"/>
      <c r="AA35" s="4">
        <f t="shared" ref="AA35:AB86" si="32">+C35+F35+I35+L35+O35+R35</f>
        <v>200016514.79049808</v>
      </c>
      <c r="AB35" s="4">
        <f t="shared" si="32"/>
        <v>120465459.09</v>
      </c>
      <c r="AC35" s="4">
        <f t="shared" ref="AC35:AC86" si="33">+AA35-AB35</f>
        <v>79551055.700498074</v>
      </c>
      <c r="AD35" s="43">
        <f t="shared" ref="AD35:AD86" si="34">+AC35/AA35*100</f>
        <v>39.772243698887408</v>
      </c>
      <c r="AE35" s="34"/>
      <c r="AF35" s="38"/>
      <c r="AG35" s="38"/>
      <c r="AH35" s="2"/>
      <c r="AI35" s="2"/>
      <c r="AL35" s="2"/>
    </row>
    <row r="36" spans="1:38" x14ac:dyDescent="0.25">
      <c r="A36" s="5" t="s">
        <v>55</v>
      </c>
      <c r="B36" s="4">
        <v>229762301</v>
      </c>
      <c r="C36" s="4">
        <v>19146858.412866898</v>
      </c>
      <c r="D36" s="4">
        <v>18068114</v>
      </c>
      <c r="E36" s="4">
        <f t="shared" si="18"/>
        <v>1078744.4128668979</v>
      </c>
      <c r="F36" s="4">
        <f>+'202501anual'!D102</f>
        <v>21107703.884853005</v>
      </c>
      <c r="G36" s="4">
        <f>16820292+4802535</f>
        <v>21622827</v>
      </c>
      <c r="H36" s="4">
        <f t="shared" si="19"/>
        <v>-515123.11514699459</v>
      </c>
      <c r="I36" s="4">
        <f>+'202501anual'!E102</f>
        <v>21107703.884853005</v>
      </c>
      <c r="J36" s="4">
        <f>17493747+4802535</f>
        <v>22296282</v>
      </c>
      <c r="K36" s="4">
        <f t="shared" si="28"/>
        <v>-1188578.1151469946</v>
      </c>
      <c r="L36" s="4">
        <f>+'202501anual'!F102</f>
        <v>21107703.884853005</v>
      </c>
      <c r="M36" s="4">
        <f>18669307+4802535</f>
        <v>23471842</v>
      </c>
      <c r="N36" s="4">
        <f t="shared" si="29"/>
        <v>-2364138.1151469946</v>
      </c>
      <c r="O36" s="4">
        <f>+'202501anual'!G102</f>
        <v>21107703.884853005</v>
      </c>
      <c r="P36" s="4">
        <v>23370937.437838003</v>
      </c>
      <c r="Q36" s="4">
        <f t="shared" si="30"/>
        <v>-2263233.5529849976</v>
      </c>
      <c r="R36" s="4">
        <f>+'202501anual'!H102</f>
        <v>21107703.884853005</v>
      </c>
      <c r="S36" s="4"/>
      <c r="T36" s="4">
        <f t="shared" si="31"/>
        <v>21107703.884853005</v>
      </c>
      <c r="U36" s="4"/>
      <c r="V36" s="4"/>
      <c r="W36" s="4"/>
      <c r="X36" s="4"/>
      <c r="Y36" s="4"/>
      <c r="Z36" s="4"/>
      <c r="AA36" s="4">
        <f t="shared" si="32"/>
        <v>124685377.83713192</v>
      </c>
      <c r="AB36" s="4">
        <f t="shared" si="32"/>
        <v>108830002.437838</v>
      </c>
      <c r="AC36" s="4">
        <f t="shared" si="33"/>
        <v>15855375.399293914</v>
      </c>
      <c r="AD36" s="43">
        <f t="shared" si="34"/>
        <v>12.716306975469665</v>
      </c>
      <c r="AE36" s="34"/>
      <c r="AF36" s="38"/>
      <c r="AG36" s="38"/>
      <c r="AH36" s="2"/>
      <c r="AI36" s="2"/>
      <c r="AL36" s="2"/>
    </row>
    <row r="37" spans="1:38" x14ac:dyDescent="0.25">
      <c r="A37" s="5" t="s">
        <v>88</v>
      </c>
      <c r="B37" s="4">
        <v>2000000</v>
      </c>
      <c r="C37" s="4">
        <v>0</v>
      </c>
      <c r="D37" s="4">
        <v>0</v>
      </c>
      <c r="E37" s="4">
        <f t="shared" si="18"/>
        <v>0</v>
      </c>
      <c r="F37" s="4">
        <f>+'202501anual'!D103</f>
        <v>27000000</v>
      </c>
      <c r="G37" s="4">
        <v>0</v>
      </c>
      <c r="H37" s="4">
        <f t="shared" si="19"/>
        <v>27000000</v>
      </c>
      <c r="I37" s="4">
        <f>+'202501anual'!E103</f>
        <v>0</v>
      </c>
      <c r="J37" s="4"/>
      <c r="K37" s="4">
        <f t="shared" si="28"/>
        <v>0</v>
      </c>
      <c r="L37" s="4">
        <f>+'202501anual'!F103</f>
        <v>0</v>
      </c>
      <c r="M37" s="4">
        <v>0</v>
      </c>
      <c r="N37" s="4">
        <f t="shared" si="29"/>
        <v>0</v>
      </c>
      <c r="O37" s="4">
        <f>+'202501anual'!G103</f>
        <v>0</v>
      </c>
      <c r="P37" s="4">
        <v>0</v>
      </c>
      <c r="Q37" s="4">
        <f t="shared" si="30"/>
        <v>0</v>
      </c>
      <c r="R37" s="4">
        <f>+'202501anual'!H103</f>
        <v>0</v>
      </c>
      <c r="S37" s="4"/>
      <c r="T37" s="4">
        <f t="shared" si="31"/>
        <v>0</v>
      </c>
      <c r="U37" s="4"/>
      <c r="V37" s="4"/>
      <c r="W37" s="4"/>
      <c r="X37" s="4"/>
      <c r="Y37" s="4"/>
      <c r="Z37" s="4"/>
      <c r="AA37" s="4">
        <f t="shared" si="32"/>
        <v>27000000</v>
      </c>
      <c r="AB37" s="4">
        <f t="shared" si="32"/>
        <v>0</v>
      </c>
      <c r="AC37" s="4">
        <f t="shared" si="33"/>
        <v>27000000</v>
      </c>
      <c r="AD37" s="43">
        <v>0</v>
      </c>
      <c r="AE37" s="34"/>
      <c r="AF37" s="38"/>
      <c r="AG37" s="38"/>
      <c r="AH37" s="2"/>
      <c r="AI37" s="2"/>
      <c r="AL37" s="2"/>
    </row>
    <row r="38" spans="1:38" x14ac:dyDescent="0.25">
      <c r="A38" s="5" t="s">
        <v>18</v>
      </c>
      <c r="B38" s="4">
        <v>12120000</v>
      </c>
      <c r="C38" s="4">
        <v>760000</v>
      </c>
      <c r="D38" s="4">
        <v>794000</v>
      </c>
      <c r="E38" s="4">
        <f t="shared" si="18"/>
        <v>-34000</v>
      </c>
      <c r="F38" s="4">
        <f>+'202501anual'!D104</f>
        <v>1760000</v>
      </c>
      <c r="G38" s="4">
        <v>794000</v>
      </c>
      <c r="H38" s="4">
        <f t="shared" si="19"/>
        <v>966000</v>
      </c>
      <c r="I38" s="4">
        <f>+'202501anual'!E104</f>
        <v>1760000</v>
      </c>
      <c r="J38" s="4">
        <f>+[6]EjecucionPptalPasiva!$Q$276</f>
        <v>794000</v>
      </c>
      <c r="K38" s="4">
        <f t="shared" si="28"/>
        <v>966000</v>
      </c>
      <c r="L38" s="4">
        <f>+'202501anual'!F104</f>
        <v>1760000</v>
      </c>
      <c r="M38" s="4">
        <f>+[5]EjecucionPptalPasiva!$Q$276</f>
        <v>794000</v>
      </c>
      <c r="N38" s="4">
        <f t="shared" si="29"/>
        <v>966000</v>
      </c>
      <c r="O38" s="4">
        <f>+'202501anual'!G104</f>
        <v>1760000</v>
      </c>
      <c r="P38" s="4">
        <v>794000</v>
      </c>
      <c r="Q38" s="4">
        <f t="shared" si="30"/>
        <v>966000</v>
      </c>
      <c r="R38" s="4">
        <f>+'202501anual'!H104</f>
        <v>1760000</v>
      </c>
      <c r="S38" s="4"/>
      <c r="T38" s="4">
        <f t="shared" si="31"/>
        <v>1760000</v>
      </c>
      <c r="U38" s="4"/>
      <c r="V38" s="4"/>
      <c r="W38" s="4"/>
      <c r="X38" s="4"/>
      <c r="Y38" s="4"/>
      <c r="Z38" s="4"/>
      <c r="AA38" s="4">
        <f t="shared" si="32"/>
        <v>9560000</v>
      </c>
      <c r="AB38" s="4">
        <f t="shared" si="32"/>
        <v>3970000</v>
      </c>
      <c r="AC38" s="4">
        <f t="shared" si="33"/>
        <v>5590000</v>
      </c>
      <c r="AD38" s="43">
        <f t="shared" si="34"/>
        <v>58.472803347280333</v>
      </c>
      <c r="AE38" s="34"/>
      <c r="AF38" s="38"/>
      <c r="AG38" s="38"/>
      <c r="AH38" s="2"/>
      <c r="AI38" s="2"/>
    </row>
    <row r="39" spans="1:38" x14ac:dyDescent="0.25">
      <c r="A39" s="5" t="s">
        <v>71</v>
      </c>
      <c r="B39" s="4">
        <v>10000000</v>
      </c>
      <c r="C39" s="4">
        <v>0</v>
      </c>
      <c r="D39" s="4">
        <v>0</v>
      </c>
      <c r="E39" s="4">
        <f t="shared" si="18"/>
        <v>0</v>
      </c>
      <c r="F39" s="4">
        <f>+'202501anual'!D105</f>
        <v>350000</v>
      </c>
      <c r="G39" s="4">
        <v>0</v>
      </c>
      <c r="H39" s="4">
        <f t="shared" si="19"/>
        <v>350000</v>
      </c>
      <c r="I39" s="4">
        <f>+'202501anual'!E105</f>
        <v>350000</v>
      </c>
      <c r="J39" s="4"/>
      <c r="K39" s="4">
        <f t="shared" si="28"/>
        <v>350000</v>
      </c>
      <c r="L39" s="4">
        <f>+'202501anual'!F105</f>
        <v>350000</v>
      </c>
      <c r="M39" s="4">
        <v>0</v>
      </c>
      <c r="N39" s="4">
        <f t="shared" si="29"/>
        <v>350000</v>
      </c>
      <c r="O39" s="4">
        <f>+'202501anual'!G105</f>
        <v>350000</v>
      </c>
      <c r="P39" s="4">
        <v>0</v>
      </c>
      <c r="Q39" s="4">
        <f t="shared" si="30"/>
        <v>350000</v>
      </c>
      <c r="R39" s="4">
        <f>+'202501anual'!H105</f>
        <v>350000</v>
      </c>
      <c r="S39" s="4"/>
      <c r="T39" s="4">
        <f t="shared" si="31"/>
        <v>350000</v>
      </c>
      <c r="U39" s="4"/>
      <c r="V39" s="4"/>
      <c r="W39" s="4"/>
      <c r="X39" s="4"/>
      <c r="Y39" s="4"/>
      <c r="Z39" s="4"/>
      <c r="AA39" s="4">
        <f t="shared" si="32"/>
        <v>1750000</v>
      </c>
      <c r="AB39" s="4">
        <f t="shared" si="32"/>
        <v>0</v>
      </c>
      <c r="AC39" s="4">
        <f t="shared" si="33"/>
        <v>1750000</v>
      </c>
      <c r="AD39" s="43">
        <v>0</v>
      </c>
      <c r="AE39" s="34"/>
      <c r="AF39" s="38"/>
      <c r="AG39" s="38"/>
      <c r="AH39" s="2"/>
      <c r="AI39" s="2"/>
    </row>
    <row r="40" spans="1:38" x14ac:dyDescent="0.25">
      <c r="A40" s="5" t="s">
        <v>84</v>
      </c>
      <c r="B40" s="4">
        <v>13500000</v>
      </c>
      <c r="C40" s="4">
        <v>0</v>
      </c>
      <c r="D40" s="4">
        <v>0</v>
      </c>
      <c r="E40" s="4">
        <f t="shared" si="18"/>
        <v>0</v>
      </c>
      <c r="F40" s="4">
        <f>+'202501anual'!D106</f>
        <v>0</v>
      </c>
      <c r="G40" s="4">
        <v>0</v>
      </c>
      <c r="H40" s="4">
        <f t="shared" si="19"/>
        <v>0</v>
      </c>
      <c r="I40" s="4">
        <f>+'202501anual'!E106</f>
        <v>0</v>
      </c>
      <c r="J40" s="4"/>
      <c r="K40" s="4">
        <f t="shared" si="28"/>
        <v>0</v>
      </c>
      <c r="L40" s="4">
        <f>+'202501anual'!F106</f>
        <v>0</v>
      </c>
      <c r="M40" s="4">
        <v>0</v>
      </c>
      <c r="N40" s="4">
        <f t="shared" si="29"/>
        <v>0</v>
      </c>
      <c r="O40" s="4">
        <f>+'202501anual'!G106</f>
        <v>0</v>
      </c>
      <c r="P40" s="4">
        <v>0</v>
      </c>
      <c r="Q40" s="4">
        <f t="shared" si="30"/>
        <v>0</v>
      </c>
      <c r="R40" s="4">
        <f>+'202501anual'!H106</f>
        <v>600000</v>
      </c>
      <c r="S40" s="4"/>
      <c r="T40" s="4">
        <f t="shared" si="31"/>
        <v>600000</v>
      </c>
      <c r="U40" s="4"/>
      <c r="V40" s="4"/>
      <c r="W40" s="4"/>
      <c r="X40" s="4"/>
      <c r="Y40" s="4"/>
      <c r="Z40" s="4"/>
      <c r="AA40" s="4">
        <f t="shared" si="32"/>
        <v>600000</v>
      </c>
      <c r="AB40" s="4">
        <f t="shared" si="32"/>
        <v>0</v>
      </c>
      <c r="AC40" s="4">
        <f t="shared" si="33"/>
        <v>600000</v>
      </c>
      <c r="AD40" s="43">
        <v>0</v>
      </c>
      <c r="AE40" s="34"/>
      <c r="AF40" s="38"/>
      <c r="AG40" s="38"/>
      <c r="AH40" s="2"/>
      <c r="AI40" s="2"/>
    </row>
    <row r="41" spans="1:38" x14ac:dyDescent="0.25">
      <c r="A41" s="5" t="s">
        <v>19</v>
      </c>
      <c r="B41" s="4">
        <v>134400000</v>
      </c>
      <c r="C41" s="4">
        <v>11200000</v>
      </c>
      <c r="D41" s="4">
        <v>10666000</v>
      </c>
      <c r="E41" s="4">
        <f t="shared" si="18"/>
        <v>534000</v>
      </c>
      <c r="F41" s="4">
        <f>+'202501anual'!D107</f>
        <v>11500000</v>
      </c>
      <c r="G41" s="4">
        <v>10666000</v>
      </c>
      <c r="H41" s="4">
        <f t="shared" si="19"/>
        <v>834000</v>
      </c>
      <c r="I41" s="4">
        <f>+'202501anual'!E107</f>
        <v>11500000</v>
      </c>
      <c r="J41" s="4">
        <f>+[6]EjecucionPptalPasiva!$Q$289+[6]EjecucionPptalPasiva!$Q$294</f>
        <v>10666000</v>
      </c>
      <c r="K41" s="4">
        <f t="shared" si="28"/>
        <v>834000</v>
      </c>
      <c r="L41" s="4">
        <f>+'202501anual'!F107</f>
        <v>11500000</v>
      </c>
      <c r="M41" s="4">
        <f>+[5]EjecucionPptalPasiva!$Q$289+[5]EjecucionPptalPasiva!$Q$294</f>
        <v>10666000</v>
      </c>
      <c r="N41" s="4">
        <f t="shared" si="29"/>
        <v>834000</v>
      </c>
      <c r="O41" s="4">
        <f>+'202501anual'!G107</f>
        <v>11500000</v>
      </c>
      <c r="P41" s="4">
        <v>10666000</v>
      </c>
      <c r="Q41" s="4">
        <f t="shared" si="30"/>
        <v>834000</v>
      </c>
      <c r="R41" s="4">
        <f>+'202501anual'!H107</f>
        <v>11500000</v>
      </c>
      <c r="S41" s="4"/>
      <c r="T41" s="4">
        <f t="shared" si="31"/>
        <v>11500000</v>
      </c>
      <c r="U41" s="4"/>
      <c r="V41" s="4"/>
      <c r="W41" s="4"/>
      <c r="X41" s="4"/>
      <c r="Y41" s="4"/>
      <c r="Z41" s="4"/>
      <c r="AA41" s="4">
        <f t="shared" si="32"/>
        <v>68700000</v>
      </c>
      <c r="AB41" s="4">
        <f t="shared" si="32"/>
        <v>53330000</v>
      </c>
      <c r="AC41" s="4">
        <f t="shared" si="33"/>
        <v>15370000</v>
      </c>
      <c r="AD41" s="43">
        <f t="shared" si="34"/>
        <v>22.372634643377001</v>
      </c>
      <c r="AE41" s="34"/>
      <c r="AF41" s="38"/>
      <c r="AG41" s="38"/>
      <c r="AH41" s="2"/>
      <c r="AI41" s="2"/>
    </row>
    <row r="42" spans="1:38" ht="30" x14ac:dyDescent="0.25">
      <c r="A42" s="21" t="s">
        <v>89</v>
      </c>
      <c r="B42" s="4">
        <v>27000000</v>
      </c>
      <c r="C42" s="4">
        <v>0</v>
      </c>
      <c r="D42" s="4">
        <v>0</v>
      </c>
      <c r="E42" s="4">
        <f t="shared" si="18"/>
        <v>0</v>
      </c>
      <c r="F42" s="4">
        <f>+'202501anual'!D108</f>
        <v>0</v>
      </c>
      <c r="G42" s="4">
        <v>3450000</v>
      </c>
      <c r="H42" s="4">
        <f t="shared" si="19"/>
        <v>-3450000</v>
      </c>
      <c r="I42" s="4">
        <f>+'202501anual'!E108</f>
        <v>2500000</v>
      </c>
      <c r="J42" s="4"/>
      <c r="K42" s="4">
        <f t="shared" si="28"/>
        <v>2500000</v>
      </c>
      <c r="L42" s="4">
        <f>+'202501anual'!F108</f>
        <v>3000000</v>
      </c>
      <c r="M42" s="4">
        <v>0</v>
      </c>
      <c r="N42" s="4">
        <f t="shared" si="29"/>
        <v>3000000</v>
      </c>
      <c r="O42" s="4">
        <f>+'202501anual'!G108</f>
        <v>3000000</v>
      </c>
      <c r="P42" s="4">
        <v>0</v>
      </c>
      <c r="Q42" s="4">
        <f t="shared" si="30"/>
        <v>3000000</v>
      </c>
      <c r="R42" s="4">
        <f>+'202501anual'!H108</f>
        <v>0</v>
      </c>
      <c r="S42" s="4"/>
      <c r="T42" s="4">
        <f t="shared" si="31"/>
        <v>0</v>
      </c>
      <c r="U42" s="4"/>
      <c r="V42" s="4"/>
      <c r="W42" s="4"/>
      <c r="X42" s="4"/>
      <c r="Y42" s="4"/>
      <c r="Z42" s="4"/>
      <c r="AA42" s="4">
        <f t="shared" si="32"/>
        <v>8500000</v>
      </c>
      <c r="AB42" s="4">
        <f t="shared" si="32"/>
        <v>3450000</v>
      </c>
      <c r="AC42" s="4">
        <f t="shared" si="33"/>
        <v>5050000</v>
      </c>
      <c r="AD42" s="43">
        <v>0</v>
      </c>
      <c r="AE42" s="34"/>
      <c r="AF42" s="38"/>
      <c r="AG42" s="38"/>
      <c r="AH42" s="2"/>
      <c r="AI42" s="2"/>
    </row>
    <row r="43" spans="1:38" x14ac:dyDescent="0.25">
      <c r="A43" s="5" t="s">
        <v>72</v>
      </c>
      <c r="B43" s="4">
        <v>93058000</v>
      </c>
      <c r="C43" s="4">
        <v>5760000</v>
      </c>
      <c r="D43" s="4">
        <v>2176000</v>
      </c>
      <c r="E43" s="4">
        <f t="shared" si="18"/>
        <v>3584000</v>
      </c>
      <c r="F43" s="4">
        <f>+'202501anual'!D109</f>
        <v>4730000</v>
      </c>
      <c r="G43" s="4">
        <v>2582989</v>
      </c>
      <c r="H43" s="4">
        <f t="shared" si="19"/>
        <v>2147011</v>
      </c>
      <c r="I43" s="4">
        <f>+'202501anual'!E109</f>
        <v>4730000</v>
      </c>
      <c r="J43" s="4">
        <f>+[6]EjecucionPptalPasiva!$Q$290+[6]EjecucionPptalPasiva!$Q$295</f>
        <v>2694465</v>
      </c>
      <c r="K43" s="4">
        <f t="shared" si="28"/>
        <v>2035535</v>
      </c>
      <c r="L43" s="4">
        <f>+'202501anual'!F109</f>
        <v>4730000</v>
      </c>
      <c r="M43" s="4">
        <f>+[5]EjecucionPptalPasiva!$Q$290+[5]EjecucionPptalPasiva!$Q$295</f>
        <v>2686418</v>
      </c>
      <c r="N43" s="4">
        <f t="shared" si="29"/>
        <v>2043582</v>
      </c>
      <c r="O43" s="4">
        <f>+'202501anual'!G109</f>
        <v>4730000</v>
      </c>
      <c r="P43" s="4">
        <v>2813343.24</v>
      </c>
      <c r="Q43" s="4">
        <f t="shared" si="30"/>
        <v>1916656.7599999998</v>
      </c>
      <c r="R43" s="4">
        <f>+'202501anual'!H109</f>
        <v>4730000</v>
      </c>
      <c r="S43" s="4"/>
      <c r="T43" s="4">
        <f t="shared" si="31"/>
        <v>4730000</v>
      </c>
      <c r="U43" s="4"/>
      <c r="V43" s="4"/>
      <c r="W43" s="4"/>
      <c r="X43" s="4"/>
      <c r="Y43" s="4"/>
      <c r="Z43" s="4"/>
      <c r="AA43" s="4">
        <f t="shared" si="32"/>
        <v>29410000</v>
      </c>
      <c r="AB43" s="4">
        <f t="shared" si="32"/>
        <v>12953215.24</v>
      </c>
      <c r="AC43" s="4">
        <f t="shared" si="33"/>
        <v>16456784.76</v>
      </c>
      <c r="AD43" s="43">
        <f t="shared" si="34"/>
        <v>55.956425569534176</v>
      </c>
      <c r="AE43" s="34"/>
      <c r="AF43" s="38"/>
      <c r="AG43" s="38"/>
      <c r="AH43" s="2"/>
      <c r="AI43" s="2"/>
    </row>
    <row r="44" spans="1:38" ht="60" x14ac:dyDescent="0.25">
      <c r="A44" s="21" t="s">
        <v>65</v>
      </c>
      <c r="B44" s="4">
        <v>10140000</v>
      </c>
      <c r="C44" s="4">
        <v>3980000</v>
      </c>
      <c r="D44" s="4">
        <v>0</v>
      </c>
      <c r="E44" s="4">
        <f t="shared" si="18"/>
        <v>3980000</v>
      </c>
      <c r="F44" s="4">
        <f>+'202501anual'!D110</f>
        <v>0</v>
      </c>
      <c r="G44" s="4">
        <v>0</v>
      </c>
      <c r="H44" s="4">
        <f t="shared" si="19"/>
        <v>0</v>
      </c>
      <c r="I44" s="4">
        <f>+'202501anual'!E110</f>
        <v>0</v>
      </c>
      <c r="J44" s="4"/>
      <c r="K44" s="4">
        <f t="shared" si="28"/>
        <v>0</v>
      </c>
      <c r="L44" s="4">
        <f>+'202501anual'!F110</f>
        <v>24000000</v>
      </c>
      <c r="M44" s="4">
        <f>+[5]EjecucionPptalPasiva!$O$228</f>
        <v>593000</v>
      </c>
      <c r="N44" s="4">
        <f t="shared" si="29"/>
        <v>23407000</v>
      </c>
      <c r="O44" s="4">
        <f>+'202501anual'!G110</f>
        <v>0</v>
      </c>
      <c r="P44" s="4">
        <v>0</v>
      </c>
      <c r="Q44" s="4">
        <f t="shared" si="30"/>
        <v>0</v>
      </c>
      <c r="R44" s="4">
        <f>+'202501anual'!H110</f>
        <v>0</v>
      </c>
      <c r="S44" s="4">
        <v>0</v>
      </c>
      <c r="T44" s="4">
        <f t="shared" si="31"/>
        <v>0</v>
      </c>
      <c r="U44" s="4"/>
      <c r="V44" s="4"/>
      <c r="W44" s="4"/>
      <c r="X44" s="4"/>
      <c r="Y44" s="4"/>
      <c r="Z44" s="4"/>
      <c r="AA44" s="4">
        <f t="shared" si="32"/>
        <v>27980000</v>
      </c>
      <c r="AB44" s="4">
        <f t="shared" si="32"/>
        <v>593000</v>
      </c>
      <c r="AC44" s="4">
        <f t="shared" si="33"/>
        <v>27387000</v>
      </c>
      <c r="AD44" s="43">
        <f t="shared" si="34"/>
        <v>97.880629020729089</v>
      </c>
      <c r="AE44" s="34"/>
      <c r="AF44" s="38"/>
      <c r="AG44" s="38"/>
      <c r="AH44" s="2"/>
      <c r="AI44" s="2"/>
    </row>
    <row r="45" spans="1:38" ht="45" x14ac:dyDescent="0.25">
      <c r="A45" s="21" t="s">
        <v>20</v>
      </c>
      <c r="B45" s="4">
        <v>4000000</v>
      </c>
      <c r="C45" s="4">
        <v>0</v>
      </c>
      <c r="D45" s="4">
        <v>0</v>
      </c>
      <c r="E45" s="4">
        <f t="shared" si="18"/>
        <v>0</v>
      </c>
      <c r="F45" s="4">
        <f>+'202501anual'!D111</f>
        <v>0</v>
      </c>
      <c r="G45" s="4">
        <v>0</v>
      </c>
      <c r="H45" s="4">
        <f t="shared" si="19"/>
        <v>0</v>
      </c>
      <c r="I45" s="4">
        <f>+'202501anual'!E111</f>
        <v>0</v>
      </c>
      <c r="J45" s="4"/>
      <c r="K45" s="4">
        <f t="shared" si="28"/>
        <v>0</v>
      </c>
      <c r="L45" s="4">
        <f>+'202501anual'!F111</f>
        <v>0</v>
      </c>
      <c r="M45" s="4">
        <v>0</v>
      </c>
      <c r="N45" s="4">
        <f t="shared" si="29"/>
        <v>0</v>
      </c>
      <c r="O45" s="4">
        <f>+'202501anual'!G111</f>
        <v>0</v>
      </c>
      <c r="P45" s="4">
        <v>0</v>
      </c>
      <c r="Q45" s="4">
        <f t="shared" si="30"/>
        <v>0</v>
      </c>
      <c r="R45" s="4">
        <f>+'202501anual'!H111</f>
        <v>0</v>
      </c>
      <c r="S45" s="4">
        <v>0</v>
      </c>
      <c r="T45" s="4">
        <f t="shared" si="31"/>
        <v>0</v>
      </c>
      <c r="U45" s="4"/>
      <c r="V45" s="4"/>
      <c r="W45" s="4"/>
      <c r="X45" s="4"/>
      <c r="Y45" s="4"/>
      <c r="Z45" s="4"/>
      <c r="AA45" s="4">
        <f t="shared" si="32"/>
        <v>0</v>
      </c>
      <c r="AB45" s="4">
        <f t="shared" si="32"/>
        <v>0</v>
      </c>
      <c r="AC45" s="4">
        <f t="shared" si="33"/>
        <v>0</v>
      </c>
      <c r="AD45" s="43">
        <v>0</v>
      </c>
      <c r="AE45" s="34"/>
      <c r="AF45" s="38"/>
      <c r="AG45" s="38"/>
      <c r="AH45" s="2"/>
      <c r="AI45" s="2"/>
    </row>
    <row r="46" spans="1:38" x14ac:dyDescent="0.25">
      <c r="A46" s="5" t="s">
        <v>21</v>
      </c>
      <c r="B46" s="4">
        <v>13200000</v>
      </c>
      <c r="C46" s="4">
        <v>500000</v>
      </c>
      <c r="D46" s="4">
        <v>0</v>
      </c>
      <c r="E46" s="4">
        <f t="shared" si="18"/>
        <v>500000</v>
      </c>
      <c r="F46" s="4">
        <f>+'202501anual'!D112</f>
        <v>0</v>
      </c>
      <c r="G46" s="4"/>
      <c r="H46" s="4">
        <f t="shared" si="19"/>
        <v>0</v>
      </c>
      <c r="I46" s="4">
        <f>+'202501anual'!E112</f>
        <v>0</v>
      </c>
      <c r="J46" s="4"/>
      <c r="K46" s="4">
        <f t="shared" si="28"/>
        <v>0</v>
      </c>
      <c r="L46" s="4">
        <f>+'202501anual'!F112</f>
        <v>780000</v>
      </c>
      <c r="M46" s="4">
        <f>+[5]EjecucionPptalPasiva!$O$234</f>
        <v>4758000</v>
      </c>
      <c r="N46" s="4">
        <f t="shared" si="29"/>
        <v>-3978000</v>
      </c>
      <c r="O46" s="4">
        <f>+'202501anual'!G112</f>
        <v>780000</v>
      </c>
      <c r="P46" s="4">
        <v>0</v>
      </c>
      <c r="Q46" s="4">
        <f t="shared" si="30"/>
        <v>780000</v>
      </c>
      <c r="R46" s="4">
        <f>+'202501anual'!H112</f>
        <v>780000</v>
      </c>
      <c r="S46" s="4">
        <v>0</v>
      </c>
      <c r="T46" s="4">
        <f t="shared" si="31"/>
        <v>780000</v>
      </c>
      <c r="U46" s="4"/>
      <c r="V46" s="4"/>
      <c r="W46" s="4"/>
      <c r="X46" s="4"/>
      <c r="Y46" s="4"/>
      <c r="Z46" s="4"/>
      <c r="AA46" s="4">
        <f t="shared" si="32"/>
        <v>2840000</v>
      </c>
      <c r="AB46" s="4">
        <f t="shared" si="32"/>
        <v>4758000</v>
      </c>
      <c r="AC46" s="4">
        <f t="shared" si="33"/>
        <v>-1918000</v>
      </c>
      <c r="AD46" s="43">
        <f t="shared" si="34"/>
        <v>-67.535211267605632</v>
      </c>
      <c r="AE46" s="34"/>
      <c r="AF46" s="38"/>
      <c r="AG46" s="38"/>
      <c r="AH46" s="2"/>
      <c r="AI46" s="2"/>
    </row>
    <row r="47" spans="1:38" x14ac:dyDescent="0.25">
      <c r="A47" s="5" t="s">
        <v>22</v>
      </c>
      <c r="B47" s="4">
        <v>16200000</v>
      </c>
      <c r="C47" s="4">
        <v>1350000</v>
      </c>
      <c r="D47" s="4">
        <v>0</v>
      </c>
      <c r="E47" s="4">
        <f t="shared" si="18"/>
        <v>1350000</v>
      </c>
      <c r="F47" s="4">
        <f>+'202501anual'!D113</f>
        <v>0</v>
      </c>
      <c r="G47" s="4"/>
      <c r="H47" s="4">
        <f t="shared" si="19"/>
        <v>0</v>
      </c>
      <c r="I47" s="4">
        <f>+'202501anual'!E113</f>
        <v>780000</v>
      </c>
      <c r="J47" s="4"/>
      <c r="K47" s="4">
        <f t="shared" si="28"/>
        <v>780000</v>
      </c>
      <c r="L47" s="4">
        <f>+'202501anual'!F113</f>
        <v>1994000</v>
      </c>
      <c r="M47" s="4">
        <v>0</v>
      </c>
      <c r="N47" s="4">
        <f t="shared" si="29"/>
        <v>1994000</v>
      </c>
      <c r="O47" s="4">
        <f>+'202501anual'!G113</f>
        <v>1994000</v>
      </c>
      <c r="P47" s="4">
        <f>1341600+382141.97-2695000+10110500</f>
        <v>9139241.9700000007</v>
      </c>
      <c r="Q47" s="4">
        <f t="shared" si="30"/>
        <v>-7145241.9700000007</v>
      </c>
      <c r="R47" s="4">
        <f>+'202501anual'!H113</f>
        <v>1994000</v>
      </c>
      <c r="S47" s="4"/>
      <c r="T47" s="4">
        <f t="shared" si="31"/>
        <v>1994000</v>
      </c>
      <c r="U47" s="4"/>
      <c r="V47" s="4"/>
      <c r="W47" s="4"/>
      <c r="X47" s="4"/>
      <c r="Y47" s="4"/>
      <c r="Z47" s="4"/>
      <c r="AA47" s="4">
        <f t="shared" si="32"/>
        <v>8112000</v>
      </c>
      <c r="AB47" s="4">
        <f t="shared" si="32"/>
        <v>9139241.9700000007</v>
      </c>
      <c r="AC47" s="4">
        <f t="shared" si="33"/>
        <v>-1027241.9700000007</v>
      </c>
      <c r="AD47" s="43">
        <f t="shared" si="34"/>
        <v>-12.663239275147935</v>
      </c>
      <c r="AE47" s="34"/>
      <c r="AF47" s="38"/>
      <c r="AG47" s="38"/>
      <c r="AH47" s="2"/>
      <c r="AI47" s="2"/>
    </row>
    <row r="48" spans="1:38" x14ac:dyDescent="0.25">
      <c r="A48" s="21" t="s">
        <v>85</v>
      </c>
      <c r="B48" s="4">
        <v>6000000</v>
      </c>
      <c r="C48" s="4">
        <v>500000</v>
      </c>
      <c r="D48" s="4">
        <v>466260</v>
      </c>
      <c r="E48" s="4">
        <f t="shared" si="18"/>
        <v>33740</v>
      </c>
      <c r="F48" s="4">
        <f>+'202501anual'!D114</f>
        <v>800000</v>
      </c>
      <c r="G48" s="4">
        <v>762230</v>
      </c>
      <c r="H48" s="4">
        <f t="shared" si="19"/>
        <v>37770</v>
      </c>
      <c r="I48" s="4">
        <f>+'202501anual'!E114</f>
        <v>800000</v>
      </c>
      <c r="J48" s="4">
        <f>+[6]EjecucionPptalPasiva!$Q$285</f>
        <v>610639</v>
      </c>
      <c r="K48" s="4">
        <f t="shared" si="28"/>
        <v>189361</v>
      </c>
      <c r="L48" s="4">
        <f>+'202501anual'!F114</f>
        <v>800000</v>
      </c>
      <c r="M48" s="4">
        <f>+[5]EjecucionPptalPasiva!$Q$285</f>
        <v>703510</v>
      </c>
      <c r="N48" s="4">
        <f t="shared" si="29"/>
        <v>96490</v>
      </c>
      <c r="O48" s="4">
        <f>+'202501anual'!G114</f>
        <v>800000</v>
      </c>
      <c r="P48" s="4">
        <v>610873</v>
      </c>
      <c r="Q48" s="4">
        <f t="shared" si="30"/>
        <v>189127</v>
      </c>
      <c r="R48" s="4">
        <f>+'202501anual'!H114</f>
        <v>800000</v>
      </c>
      <c r="S48" s="4"/>
      <c r="T48" s="4">
        <f t="shared" si="31"/>
        <v>800000</v>
      </c>
      <c r="U48" s="4"/>
      <c r="V48" s="4"/>
      <c r="W48" s="4"/>
      <c r="X48" s="4"/>
      <c r="Y48" s="4"/>
      <c r="Z48" s="4"/>
      <c r="AA48" s="4">
        <f t="shared" si="32"/>
        <v>4500000</v>
      </c>
      <c r="AB48" s="4">
        <f t="shared" si="32"/>
        <v>3153512</v>
      </c>
      <c r="AC48" s="4">
        <f t="shared" si="33"/>
        <v>1346488</v>
      </c>
      <c r="AD48" s="43">
        <f t="shared" si="34"/>
        <v>29.921955555555556</v>
      </c>
      <c r="AE48" s="34"/>
      <c r="AF48" s="38"/>
      <c r="AG48" s="38"/>
      <c r="AH48" s="2"/>
      <c r="AI48" s="2"/>
    </row>
    <row r="49" spans="1:35" x14ac:dyDescent="0.25">
      <c r="A49" s="5" t="s">
        <v>23</v>
      </c>
      <c r="B49" s="4">
        <v>12892000</v>
      </c>
      <c r="C49" s="4">
        <v>0</v>
      </c>
      <c r="D49" s="4">
        <v>0</v>
      </c>
      <c r="E49" s="4">
        <f t="shared" si="18"/>
        <v>0</v>
      </c>
      <c r="F49" s="4">
        <f>+'202501anual'!D115</f>
        <v>25000000</v>
      </c>
      <c r="G49" s="4"/>
      <c r="H49" s="4">
        <f t="shared" si="19"/>
        <v>25000000</v>
      </c>
      <c r="I49" s="4">
        <f>+'202501anual'!E115</f>
        <v>12000000</v>
      </c>
      <c r="J49" s="4"/>
      <c r="K49" s="4">
        <f t="shared" si="28"/>
        <v>12000000</v>
      </c>
      <c r="L49" s="4">
        <f>+'202501anual'!F115</f>
        <v>10000000</v>
      </c>
      <c r="M49" s="4">
        <v>0</v>
      </c>
      <c r="N49" s="4">
        <f t="shared" si="29"/>
        <v>10000000</v>
      </c>
      <c r="O49" s="4">
        <f>+'202501anual'!G115</f>
        <v>10000000</v>
      </c>
      <c r="P49" s="4">
        <v>527000</v>
      </c>
      <c r="Q49" s="4">
        <f t="shared" si="30"/>
        <v>9473000</v>
      </c>
      <c r="R49" s="4">
        <f>+'202501anual'!H115</f>
        <v>10000000</v>
      </c>
      <c r="S49" s="4"/>
      <c r="T49" s="4">
        <f t="shared" si="31"/>
        <v>10000000</v>
      </c>
      <c r="U49" s="4"/>
      <c r="V49" s="4"/>
      <c r="W49" s="4"/>
      <c r="X49" s="4"/>
      <c r="Y49" s="4"/>
      <c r="Z49" s="4"/>
      <c r="AA49" s="4">
        <f t="shared" si="32"/>
        <v>67000000</v>
      </c>
      <c r="AB49" s="4">
        <f t="shared" si="32"/>
        <v>527000</v>
      </c>
      <c r="AC49" s="4">
        <f t="shared" si="33"/>
        <v>66473000</v>
      </c>
      <c r="AD49" s="43">
        <v>0</v>
      </c>
      <c r="AE49" s="34"/>
      <c r="AF49" s="38"/>
      <c r="AG49" s="38"/>
      <c r="AH49" s="2"/>
      <c r="AI49" s="2"/>
    </row>
    <row r="50" spans="1:35" ht="30" x14ac:dyDescent="0.25">
      <c r="A50" s="21" t="s">
        <v>37</v>
      </c>
      <c r="B50" s="4">
        <v>47040000</v>
      </c>
      <c r="C50" s="4">
        <v>3920000</v>
      </c>
      <c r="D50" s="4">
        <v>4201894</v>
      </c>
      <c r="E50" s="4">
        <f t="shared" si="18"/>
        <v>-281894</v>
      </c>
      <c r="F50" s="4">
        <f>+'202501anual'!D117</f>
        <v>7930400</v>
      </c>
      <c r="G50" s="4">
        <v>4201894</v>
      </c>
      <c r="H50" s="4">
        <f t="shared" si="19"/>
        <v>3728506</v>
      </c>
      <c r="I50" s="4">
        <f>+'202501anual'!E117</f>
        <v>7930400</v>
      </c>
      <c r="J50" s="4">
        <v>4201894</v>
      </c>
      <c r="K50" s="4">
        <f t="shared" si="28"/>
        <v>3728506</v>
      </c>
      <c r="L50" s="4">
        <f>+'202501anual'!F117</f>
        <v>7930400</v>
      </c>
      <c r="M50" s="4">
        <v>4201894</v>
      </c>
      <c r="N50" s="4">
        <f t="shared" si="29"/>
        <v>3728506</v>
      </c>
      <c r="O50" s="4">
        <f>+'202501anual'!G117</f>
        <v>13040800</v>
      </c>
      <c r="P50" s="4">
        <v>4201894</v>
      </c>
      <c r="Q50" s="4">
        <f t="shared" si="30"/>
        <v>8838906</v>
      </c>
      <c r="R50" s="4">
        <f>+'202501anual'!H117</f>
        <v>7930400</v>
      </c>
      <c r="S50" s="4"/>
      <c r="T50" s="4">
        <f t="shared" si="31"/>
        <v>7930400</v>
      </c>
      <c r="U50" s="4"/>
      <c r="V50" s="4"/>
      <c r="W50" s="4"/>
      <c r="X50" s="4"/>
      <c r="Y50" s="4"/>
      <c r="Z50" s="4"/>
      <c r="AA50" s="4">
        <f t="shared" si="32"/>
        <v>48682400</v>
      </c>
      <c r="AB50" s="4">
        <f t="shared" si="32"/>
        <v>21009470</v>
      </c>
      <c r="AC50" s="4">
        <f t="shared" si="33"/>
        <v>27672930</v>
      </c>
      <c r="AD50" s="43">
        <f t="shared" si="34"/>
        <v>56.843808029185084</v>
      </c>
      <c r="AE50" s="34">
        <f>+D50+D53+D85+D86</f>
        <v>63447894</v>
      </c>
      <c r="AF50" s="38">
        <f>+C50+C52+C53+C54+C58+C66+C74+C85+C86</f>
        <v>83125000</v>
      </c>
      <c r="AG50" s="38"/>
      <c r="AH50" s="2"/>
      <c r="AI50" s="2"/>
    </row>
    <row r="51" spans="1:35" ht="30" hidden="1" x14ac:dyDescent="0.25">
      <c r="A51" s="21" t="s">
        <v>24</v>
      </c>
      <c r="B51" s="4"/>
      <c r="C51" s="4">
        <v>0</v>
      </c>
      <c r="D51" s="4">
        <v>0</v>
      </c>
      <c r="E51" s="4">
        <f t="shared" si="18"/>
        <v>0</v>
      </c>
      <c r="F51" s="4">
        <f>+'202501anual'!D118</f>
        <v>2500000</v>
      </c>
      <c r="G51" s="4"/>
      <c r="H51" s="4">
        <f t="shared" si="19"/>
        <v>2500000</v>
      </c>
      <c r="I51" s="4">
        <f>+'202501anual'!E118</f>
        <v>2500000</v>
      </c>
      <c r="J51" s="4"/>
      <c r="K51" s="4">
        <f t="shared" si="28"/>
        <v>2500000</v>
      </c>
      <c r="L51" s="4">
        <f>+'202501anual'!F118</f>
        <v>2500000</v>
      </c>
      <c r="M51" s="4"/>
      <c r="N51" s="4">
        <f t="shared" si="29"/>
        <v>2500000</v>
      </c>
      <c r="O51" s="4">
        <f>+'202501anual'!G118</f>
        <v>2500000</v>
      </c>
      <c r="P51" s="4"/>
      <c r="Q51" s="4">
        <f t="shared" si="30"/>
        <v>2500000</v>
      </c>
      <c r="R51" s="4">
        <f>+'202501anual'!H118</f>
        <v>2500000</v>
      </c>
      <c r="S51" s="4"/>
      <c r="T51" s="4">
        <f t="shared" si="31"/>
        <v>2500000</v>
      </c>
      <c r="U51" s="4"/>
      <c r="V51" s="4"/>
      <c r="W51" s="4"/>
      <c r="X51" s="4"/>
      <c r="Y51" s="4"/>
      <c r="Z51" s="4"/>
      <c r="AA51" s="4">
        <f t="shared" si="32"/>
        <v>12500000</v>
      </c>
      <c r="AB51" s="4">
        <f t="shared" si="32"/>
        <v>0</v>
      </c>
      <c r="AC51" s="4">
        <f t="shared" si="33"/>
        <v>12500000</v>
      </c>
      <c r="AD51" s="43">
        <f t="shared" si="34"/>
        <v>100</v>
      </c>
      <c r="AE51" s="34"/>
      <c r="AF51" s="38"/>
      <c r="AG51" s="38"/>
      <c r="AH51" s="2"/>
      <c r="AI51" s="2"/>
    </row>
    <row r="52" spans="1:35" x14ac:dyDescent="0.25">
      <c r="A52" s="21" t="s">
        <v>25</v>
      </c>
      <c r="B52" s="4">
        <v>39840000</v>
      </c>
      <c r="C52" s="4">
        <v>3320000</v>
      </c>
      <c r="D52" s="4">
        <v>0</v>
      </c>
      <c r="E52" s="4">
        <f t="shared" si="18"/>
        <v>3320000</v>
      </c>
      <c r="F52" s="4">
        <f>+'202501anual'!D119</f>
        <v>4142000</v>
      </c>
      <c r="G52" s="4">
        <v>3567900</v>
      </c>
      <c r="H52" s="4">
        <f t="shared" si="19"/>
        <v>574100</v>
      </c>
      <c r="I52" s="4">
        <f>+'202501anual'!E119</f>
        <v>4142000</v>
      </c>
      <c r="J52" s="4">
        <v>3567900</v>
      </c>
      <c r="K52" s="4">
        <f t="shared" si="28"/>
        <v>574100</v>
      </c>
      <c r="L52" s="4">
        <f>+'202501anual'!F119</f>
        <v>4542000</v>
      </c>
      <c r="M52" s="4">
        <v>0</v>
      </c>
      <c r="N52" s="4">
        <f t="shared" si="29"/>
        <v>4542000</v>
      </c>
      <c r="O52" s="4">
        <f>+'202501anual'!G119</f>
        <v>4142000</v>
      </c>
      <c r="P52" s="4">
        <f>3567900*2</f>
        <v>7135800</v>
      </c>
      <c r="Q52" s="4">
        <f t="shared" si="30"/>
        <v>-2993800</v>
      </c>
      <c r="R52" s="4">
        <f>+'202501anual'!H119</f>
        <v>4142000</v>
      </c>
      <c r="S52" s="4"/>
      <c r="T52" s="4">
        <f t="shared" si="31"/>
        <v>4142000</v>
      </c>
      <c r="U52" s="4"/>
      <c r="V52" s="4"/>
      <c r="W52" s="4"/>
      <c r="X52" s="4"/>
      <c r="Y52" s="4"/>
      <c r="Z52" s="4"/>
      <c r="AA52" s="4">
        <f t="shared" si="32"/>
        <v>24430000</v>
      </c>
      <c r="AB52" s="4">
        <f t="shared" si="32"/>
        <v>14271600</v>
      </c>
      <c r="AC52" s="4">
        <f t="shared" si="33"/>
        <v>10158400</v>
      </c>
      <c r="AD52" s="43">
        <f t="shared" si="34"/>
        <v>41.581661891117477</v>
      </c>
      <c r="AE52" s="34"/>
      <c r="AF52" s="38"/>
      <c r="AG52" s="38"/>
      <c r="AH52" s="2"/>
      <c r="AI52" s="2"/>
    </row>
    <row r="53" spans="1:35" x14ac:dyDescent="0.25">
      <c r="A53" s="5" t="s">
        <v>60</v>
      </c>
      <c r="B53" s="4">
        <v>40200000</v>
      </c>
      <c r="C53" s="4">
        <v>3350000</v>
      </c>
      <c r="D53" s="4">
        <v>3350000</v>
      </c>
      <c r="E53" s="4">
        <f t="shared" si="18"/>
        <v>0</v>
      </c>
      <c r="F53" s="4">
        <f>+'202501anual'!D121</f>
        <v>4120000</v>
      </c>
      <c r="G53" s="4">
        <v>3764068</v>
      </c>
      <c r="H53" s="4">
        <f t="shared" si="19"/>
        <v>355932</v>
      </c>
      <c r="I53" s="4">
        <f>+'202501anual'!E121</f>
        <v>4120000</v>
      </c>
      <c r="J53" s="4">
        <v>3557034</v>
      </c>
      <c r="K53" s="4">
        <f t="shared" si="28"/>
        <v>562966</v>
      </c>
      <c r="L53" s="4">
        <f>+'202501anual'!F121</f>
        <v>4120000</v>
      </c>
      <c r="M53" s="4">
        <v>3557034</v>
      </c>
      <c r="N53" s="4">
        <f t="shared" si="29"/>
        <v>562966</v>
      </c>
      <c r="O53" s="4">
        <f>+'202501anual'!G121</f>
        <v>4120000</v>
      </c>
      <c r="P53" s="4">
        <v>3557034</v>
      </c>
      <c r="Q53" s="4">
        <f t="shared" si="30"/>
        <v>562966</v>
      </c>
      <c r="R53" s="4">
        <f>+'202501anual'!H121</f>
        <v>4120000</v>
      </c>
      <c r="S53" s="4"/>
      <c r="T53" s="4">
        <f t="shared" si="31"/>
        <v>4120000</v>
      </c>
      <c r="U53" s="4"/>
      <c r="V53" s="4"/>
      <c r="W53" s="4"/>
      <c r="X53" s="4"/>
      <c r="Y53" s="4"/>
      <c r="Z53" s="4"/>
      <c r="AA53" s="4">
        <f t="shared" si="32"/>
        <v>23950000</v>
      </c>
      <c r="AB53" s="4">
        <f t="shared" si="32"/>
        <v>17785170</v>
      </c>
      <c r="AC53" s="4">
        <f t="shared" si="33"/>
        <v>6164830</v>
      </c>
      <c r="AD53" s="43">
        <f t="shared" si="34"/>
        <v>25.740417536534448</v>
      </c>
      <c r="AE53" s="34"/>
      <c r="AF53" s="38"/>
      <c r="AG53" s="38"/>
      <c r="AH53" s="2"/>
      <c r="AI53" s="2"/>
    </row>
    <row r="54" spans="1:35" x14ac:dyDescent="0.25">
      <c r="A54" s="5" t="s">
        <v>26</v>
      </c>
      <c r="B54" s="4">
        <v>40080000</v>
      </c>
      <c r="C54" s="4">
        <v>3340000</v>
      </c>
      <c r="D54" s="4">
        <v>0</v>
      </c>
      <c r="E54" s="4">
        <f t="shared" si="18"/>
        <v>3340000</v>
      </c>
      <c r="F54" s="4">
        <f>+'202501anual'!D122</f>
        <v>0</v>
      </c>
      <c r="G54" s="4">
        <v>3567900</v>
      </c>
      <c r="H54" s="4">
        <f t="shared" si="19"/>
        <v>-3567900</v>
      </c>
      <c r="I54" s="4">
        <f>+'202501anual'!E122</f>
        <v>0</v>
      </c>
      <c r="J54" s="4">
        <v>3567900</v>
      </c>
      <c r="K54" s="4">
        <f t="shared" si="28"/>
        <v>-3567900</v>
      </c>
      <c r="L54" s="4">
        <f>+'202501anual'!F122</f>
        <v>0</v>
      </c>
      <c r="M54" s="4">
        <v>3567900</v>
      </c>
      <c r="N54" s="4">
        <f t="shared" si="29"/>
        <v>-3567900</v>
      </c>
      <c r="O54" s="4">
        <f>+'202501anual'!G122</f>
        <v>0</v>
      </c>
      <c r="P54" s="4">
        <v>3567900</v>
      </c>
      <c r="Q54" s="4">
        <f t="shared" si="30"/>
        <v>-3567900</v>
      </c>
      <c r="R54" s="4">
        <f>+'202501anual'!H122</f>
        <v>0</v>
      </c>
      <c r="S54" s="4"/>
      <c r="T54" s="4">
        <f t="shared" si="31"/>
        <v>0</v>
      </c>
      <c r="U54" s="4"/>
      <c r="V54" s="4"/>
      <c r="W54" s="4"/>
      <c r="X54" s="4"/>
      <c r="Y54" s="4"/>
      <c r="Z54" s="4"/>
      <c r="AA54" s="4">
        <f t="shared" si="32"/>
        <v>3340000</v>
      </c>
      <c r="AB54" s="4">
        <f t="shared" si="32"/>
        <v>14271600</v>
      </c>
      <c r="AC54" s="4">
        <f t="shared" si="33"/>
        <v>-10931600</v>
      </c>
      <c r="AD54" s="43">
        <f t="shared" si="34"/>
        <v>-327.29341317365265</v>
      </c>
      <c r="AE54" s="34"/>
      <c r="AF54" s="38"/>
      <c r="AG54" s="38"/>
      <c r="AH54" s="2"/>
      <c r="AI54" s="2"/>
    </row>
    <row r="55" spans="1:35" x14ac:dyDescent="0.25">
      <c r="A55" s="5" t="s">
        <v>92</v>
      </c>
      <c r="B55" s="4">
        <v>70450000</v>
      </c>
      <c r="C55" s="4">
        <v>1700000</v>
      </c>
      <c r="D55" s="4">
        <v>0</v>
      </c>
      <c r="E55" s="4">
        <f t="shared" si="18"/>
        <v>1700000</v>
      </c>
      <c r="F55" s="4">
        <f>+'202501anual'!D123</f>
        <v>2417300</v>
      </c>
      <c r="G55" s="4"/>
      <c r="H55" s="4">
        <f t="shared" si="19"/>
        <v>2417300</v>
      </c>
      <c r="I55" s="4">
        <f>+'202501anual'!E123</f>
        <v>2417300</v>
      </c>
      <c r="J55" s="4"/>
      <c r="K55" s="4">
        <f t="shared" si="28"/>
        <v>2417300</v>
      </c>
      <c r="L55" s="4">
        <f>+'202501anual'!F123</f>
        <v>5417300</v>
      </c>
      <c r="M55" s="4">
        <f>+[5]EjecucionPptalPasiva!$Q$399</f>
        <v>1400000</v>
      </c>
      <c r="N55" s="4">
        <f t="shared" si="29"/>
        <v>4017300</v>
      </c>
      <c r="O55" s="4">
        <f>+'202501anual'!G123</f>
        <v>2417300</v>
      </c>
      <c r="P55" s="4">
        <v>0</v>
      </c>
      <c r="Q55" s="4">
        <f t="shared" si="30"/>
        <v>2417300</v>
      </c>
      <c r="R55" s="4">
        <f>+'202501anual'!H123</f>
        <v>2417300</v>
      </c>
      <c r="S55" s="4"/>
      <c r="T55" s="4">
        <f t="shared" si="31"/>
        <v>2417300</v>
      </c>
      <c r="U55" s="4"/>
      <c r="V55" s="4"/>
      <c r="W55" s="4"/>
      <c r="X55" s="4"/>
      <c r="Y55" s="4"/>
      <c r="Z55" s="4"/>
      <c r="AA55" s="4">
        <f t="shared" si="32"/>
        <v>16786500</v>
      </c>
      <c r="AB55" s="4">
        <f t="shared" si="32"/>
        <v>1400000</v>
      </c>
      <c r="AC55" s="4">
        <f t="shared" si="33"/>
        <v>15386500</v>
      </c>
      <c r="AD55" s="43">
        <f t="shared" si="34"/>
        <v>91.659964852709024</v>
      </c>
      <c r="AE55" s="34"/>
      <c r="AF55" s="38"/>
      <c r="AG55" s="38"/>
      <c r="AH55" s="2"/>
      <c r="AI55" s="2"/>
    </row>
    <row r="56" spans="1:35" x14ac:dyDescent="0.25">
      <c r="A56" s="5" t="s">
        <v>73</v>
      </c>
      <c r="B56" s="4">
        <v>500000</v>
      </c>
      <c r="C56" s="4">
        <v>0</v>
      </c>
      <c r="D56" s="4">
        <v>0</v>
      </c>
      <c r="E56" s="4">
        <f t="shared" si="18"/>
        <v>0</v>
      </c>
      <c r="F56" s="4">
        <f>+'202501anual'!D124</f>
        <v>0</v>
      </c>
      <c r="G56" s="4"/>
      <c r="H56" s="4">
        <f t="shared" si="19"/>
        <v>0</v>
      </c>
      <c r="I56" s="4">
        <f>+'202501anual'!E124</f>
        <v>0</v>
      </c>
      <c r="J56" s="4"/>
      <c r="K56" s="4">
        <f t="shared" si="28"/>
        <v>0</v>
      </c>
      <c r="L56" s="4">
        <f>+'202501anual'!F124</f>
        <v>0</v>
      </c>
      <c r="M56" s="4">
        <v>0</v>
      </c>
      <c r="N56" s="4">
        <f t="shared" si="29"/>
        <v>0</v>
      </c>
      <c r="O56" s="4">
        <f>+'202501anual'!G124</f>
        <v>0</v>
      </c>
      <c r="P56" s="4">
        <v>0</v>
      </c>
      <c r="Q56" s="4">
        <f t="shared" si="30"/>
        <v>0</v>
      </c>
      <c r="R56" s="4">
        <f>+'202501anual'!H124</f>
        <v>0</v>
      </c>
      <c r="S56" s="4"/>
      <c r="T56" s="4">
        <f t="shared" si="31"/>
        <v>0</v>
      </c>
      <c r="U56" s="4"/>
      <c r="V56" s="4"/>
      <c r="W56" s="4"/>
      <c r="X56" s="4"/>
      <c r="Y56" s="4"/>
      <c r="Z56" s="4"/>
      <c r="AA56" s="4">
        <f t="shared" si="32"/>
        <v>0</v>
      </c>
      <c r="AB56" s="4">
        <f t="shared" si="32"/>
        <v>0</v>
      </c>
      <c r="AC56" s="4">
        <f t="shared" si="33"/>
        <v>0</v>
      </c>
      <c r="AD56" s="43">
        <v>0</v>
      </c>
      <c r="AE56" s="34"/>
      <c r="AF56" s="38"/>
      <c r="AG56" s="38"/>
      <c r="AH56" s="2"/>
      <c r="AI56" s="2"/>
    </row>
    <row r="57" spans="1:35" x14ac:dyDescent="0.25">
      <c r="A57" s="5" t="s">
        <v>27</v>
      </c>
      <c r="B57" s="4">
        <v>11377300</v>
      </c>
      <c r="C57" s="4">
        <v>0</v>
      </c>
      <c r="D57" s="4">
        <v>0</v>
      </c>
      <c r="E57" s="4">
        <f t="shared" si="18"/>
        <v>0</v>
      </c>
      <c r="F57" s="4">
        <f>+'202501anual'!D125</f>
        <v>0</v>
      </c>
      <c r="G57" s="4"/>
      <c r="H57" s="4">
        <f t="shared" si="19"/>
        <v>0</v>
      </c>
      <c r="I57" s="4">
        <f>+'202501anual'!E125</f>
        <v>0</v>
      </c>
      <c r="J57" s="4">
        <f>+[6]EjecucionPptalPasiva!$Q$287</f>
        <v>1070000</v>
      </c>
      <c r="K57" s="4">
        <f t="shared" si="28"/>
        <v>-1070000</v>
      </c>
      <c r="L57" s="4">
        <f>+'202501anual'!F125</f>
        <v>0</v>
      </c>
      <c r="M57" s="4">
        <v>0</v>
      </c>
      <c r="N57" s="4">
        <f t="shared" si="29"/>
        <v>0</v>
      </c>
      <c r="O57" s="4">
        <f>+'202501anual'!G125</f>
        <v>0</v>
      </c>
      <c r="P57" s="4">
        <v>0</v>
      </c>
      <c r="Q57" s="4">
        <f t="shared" si="30"/>
        <v>0</v>
      </c>
      <c r="R57" s="4">
        <f>+'202501anual'!H125</f>
        <v>0</v>
      </c>
      <c r="S57" s="4"/>
      <c r="T57" s="4">
        <f t="shared" si="31"/>
        <v>0</v>
      </c>
      <c r="U57" s="4"/>
      <c r="V57" s="4"/>
      <c r="W57" s="4"/>
      <c r="X57" s="4"/>
      <c r="Y57" s="4"/>
      <c r="Z57" s="4"/>
      <c r="AA57" s="4">
        <f t="shared" si="32"/>
        <v>0</v>
      </c>
      <c r="AB57" s="4">
        <f t="shared" si="32"/>
        <v>1070000</v>
      </c>
      <c r="AC57" s="4">
        <f t="shared" si="33"/>
        <v>-1070000</v>
      </c>
      <c r="AD57" s="43">
        <v>0</v>
      </c>
      <c r="AE57" s="34"/>
      <c r="AF57" s="38"/>
      <c r="AG57" s="38"/>
      <c r="AH57" s="2"/>
      <c r="AI57" s="2"/>
    </row>
    <row r="58" spans="1:35" x14ac:dyDescent="0.25">
      <c r="A58" s="5" t="s">
        <v>74</v>
      </c>
      <c r="B58" s="4">
        <v>46000000</v>
      </c>
      <c r="C58" s="4">
        <v>2000000</v>
      </c>
      <c r="D58" s="4">
        <v>0</v>
      </c>
      <c r="E58" s="4">
        <f t="shared" si="18"/>
        <v>2000000</v>
      </c>
      <c r="F58" s="4">
        <f>+'202501anual'!D126</f>
        <v>0</v>
      </c>
      <c r="G58" s="4"/>
      <c r="H58" s="4">
        <f t="shared" si="19"/>
        <v>0</v>
      </c>
      <c r="I58" s="4">
        <f>+'202501anual'!E126</f>
        <v>0</v>
      </c>
      <c r="J58" s="4"/>
      <c r="K58" s="4">
        <f t="shared" si="28"/>
        <v>0</v>
      </c>
      <c r="L58" s="4">
        <f>+'202501anual'!F126</f>
        <v>0</v>
      </c>
      <c r="M58" s="4">
        <v>0</v>
      </c>
      <c r="N58" s="4">
        <f t="shared" si="29"/>
        <v>0</v>
      </c>
      <c r="O58" s="4">
        <f>+'202501anual'!G126</f>
        <v>0</v>
      </c>
      <c r="P58" s="4">
        <v>0</v>
      </c>
      <c r="Q58" s="4">
        <f t="shared" si="30"/>
        <v>0</v>
      </c>
      <c r="R58" s="4">
        <f>+'202501anual'!H126</f>
        <v>0</v>
      </c>
      <c r="S58" s="4"/>
      <c r="T58" s="4">
        <f t="shared" si="31"/>
        <v>0</v>
      </c>
      <c r="U58" s="4"/>
      <c r="V58" s="4"/>
      <c r="W58" s="4"/>
      <c r="X58" s="4"/>
      <c r="Y58" s="4"/>
      <c r="Z58" s="4"/>
      <c r="AA58" s="4">
        <f t="shared" si="32"/>
        <v>2000000</v>
      </c>
      <c r="AB58" s="4">
        <f t="shared" si="32"/>
        <v>0</v>
      </c>
      <c r="AC58" s="4">
        <f t="shared" si="33"/>
        <v>2000000</v>
      </c>
      <c r="AD58" s="43">
        <f t="shared" si="34"/>
        <v>100</v>
      </c>
      <c r="AE58" s="34"/>
      <c r="AF58" s="38"/>
      <c r="AG58" s="38"/>
      <c r="AH58" s="2"/>
      <c r="AI58" s="2"/>
    </row>
    <row r="59" spans="1:35" hidden="1" x14ac:dyDescent="0.25">
      <c r="A59" s="5" t="s">
        <v>28</v>
      </c>
      <c r="B59" s="4"/>
      <c r="C59" s="4">
        <v>0</v>
      </c>
      <c r="D59" s="4">
        <v>0</v>
      </c>
      <c r="E59" s="4">
        <f t="shared" si="18"/>
        <v>0</v>
      </c>
      <c r="F59" s="4">
        <f>+'202501anual'!D127</f>
        <v>0</v>
      </c>
      <c r="G59" s="4"/>
      <c r="H59" s="4">
        <f t="shared" si="19"/>
        <v>0</v>
      </c>
      <c r="I59" s="4">
        <f>+'202501anual'!E127</f>
        <v>0</v>
      </c>
      <c r="J59" s="4"/>
      <c r="K59" s="4">
        <f t="shared" si="28"/>
        <v>0</v>
      </c>
      <c r="L59" s="4">
        <f>+'202501anual'!F127</f>
        <v>0</v>
      </c>
      <c r="M59" s="4"/>
      <c r="N59" s="4">
        <f t="shared" si="29"/>
        <v>0</v>
      </c>
      <c r="O59" s="4">
        <f>+'202501anual'!G127</f>
        <v>0</v>
      </c>
      <c r="P59" s="4"/>
      <c r="Q59" s="4">
        <f t="shared" si="30"/>
        <v>0</v>
      </c>
      <c r="R59" s="4">
        <f>+'202501anual'!H127</f>
        <v>0</v>
      </c>
      <c r="S59" s="4"/>
      <c r="T59" s="4">
        <f t="shared" si="31"/>
        <v>0</v>
      </c>
      <c r="U59" s="4"/>
      <c r="V59" s="4"/>
      <c r="W59" s="4"/>
      <c r="X59" s="4"/>
      <c r="Y59" s="4"/>
      <c r="Z59" s="4"/>
      <c r="AA59" s="4">
        <f t="shared" si="32"/>
        <v>0</v>
      </c>
      <c r="AB59" s="4">
        <f t="shared" si="32"/>
        <v>0</v>
      </c>
      <c r="AC59" s="4">
        <f t="shared" si="33"/>
        <v>0</v>
      </c>
      <c r="AD59" s="43" t="e">
        <f t="shared" si="34"/>
        <v>#DIV/0!</v>
      </c>
      <c r="AE59" s="34"/>
      <c r="AF59" s="38"/>
      <c r="AG59" s="38"/>
      <c r="AH59" s="2"/>
      <c r="AI59" s="2"/>
    </row>
    <row r="60" spans="1:35" hidden="1" x14ac:dyDescent="0.25">
      <c r="A60" s="5" t="s">
        <v>29</v>
      </c>
      <c r="B60" s="4"/>
      <c r="C60" s="4"/>
      <c r="D60" s="4"/>
      <c r="E60" s="4">
        <f t="shared" si="18"/>
        <v>0</v>
      </c>
      <c r="F60" s="4">
        <f>+'202501anual'!D128</f>
        <v>0</v>
      </c>
      <c r="G60" s="4"/>
      <c r="H60" s="4">
        <f t="shared" si="19"/>
        <v>0</v>
      </c>
      <c r="I60" s="4">
        <f>+'202501anual'!E128</f>
        <v>0</v>
      </c>
      <c r="J60" s="4"/>
      <c r="K60" s="4">
        <f t="shared" si="28"/>
        <v>0</v>
      </c>
      <c r="L60" s="4">
        <f>+'202501anual'!F128</f>
        <v>0</v>
      </c>
      <c r="M60" s="4"/>
      <c r="N60" s="4">
        <f t="shared" si="29"/>
        <v>0</v>
      </c>
      <c r="O60" s="4">
        <f>+'202501anual'!G128</f>
        <v>0</v>
      </c>
      <c r="P60" s="4"/>
      <c r="Q60" s="4">
        <f t="shared" si="30"/>
        <v>0</v>
      </c>
      <c r="R60" s="4">
        <f>+'202501anual'!H128</f>
        <v>0</v>
      </c>
      <c r="S60" s="4"/>
      <c r="T60" s="4">
        <f t="shared" si="31"/>
        <v>0</v>
      </c>
      <c r="U60" s="4"/>
      <c r="V60" s="4"/>
      <c r="W60" s="4"/>
      <c r="X60" s="4"/>
      <c r="Y60" s="4"/>
      <c r="Z60" s="4"/>
      <c r="AA60" s="4">
        <f t="shared" si="32"/>
        <v>0</v>
      </c>
      <c r="AB60" s="4">
        <f t="shared" si="32"/>
        <v>0</v>
      </c>
      <c r="AC60" s="4">
        <f t="shared" si="33"/>
        <v>0</v>
      </c>
      <c r="AD60" s="43" t="e">
        <f t="shared" si="34"/>
        <v>#DIV/0!</v>
      </c>
      <c r="AE60" s="34"/>
      <c r="AF60" s="38"/>
      <c r="AG60" s="38"/>
      <c r="AH60" s="2"/>
      <c r="AI60" s="2"/>
    </row>
    <row r="61" spans="1:35" x14ac:dyDescent="0.25">
      <c r="A61" s="5" t="s">
        <v>69</v>
      </c>
      <c r="B61" s="4">
        <v>61200000</v>
      </c>
      <c r="C61" s="4">
        <v>100000</v>
      </c>
      <c r="D61" s="4">
        <v>0</v>
      </c>
      <c r="E61" s="4">
        <f t="shared" si="18"/>
        <v>100000</v>
      </c>
      <c r="F61" s="4">
        <f>+'202501anual'!D129</f>
        <v>2134000</v>
      </c>
      <c r="G61" s="4">
        <v>183000</v>
      </c>
      <c r="H61" s="4">
        <f t="shared" si="19"/>
        <v>1951000</v>
      </c>
      <c r="I61" s="4">
        <f>+'202501anual'!E129</f>
        <v>2134000</v>
      </c>
      <c r="J61" s="4">
        <f>+[6]EjecucionPptalPasiva!$Q$281</f>
        <v>1080000</v>
      </c>
      <c r="K61" s="4">
        <f t="shared" si="28"/>
        <v>1054000</v>
      </c>
      <c r="L61" s="4">
        <f>+'202501anual'!F129</f>
        <v>2134000</v>
      </c>
      <c r="M61" s="4">
        <f>+[5]EjecucionPptalPasiva!$Q$281</f>
        <v>5109000</v>
      </c>
      <c r="N61" s="4">
        <f t="shared" si="29"/>
        <v>-2975000</v>
      </c>
      <c r="O61" s="4">
        <f>+'202501anual'!G129</f>
        <v>4534000</v>
      </c>
      <c r="P61" s="4">
        <v>5730000</v>
      </c>
      <c r="Q61" s="4">
        <f t="shared" si="30"/>
        <v>-1196000</v>
      </c>
      <c r="R61" s="4">
        <f>+'202501anual'!H129</f>
        <v>2134000</v>
      </c>
      <c r="S61" s="4"/>
      <c r="T61" s="4">
        <f t="shared" si="31"/>
        <v>2134000</v>
      </c>
      <c r="U61" s="4"/>
      <c r="V61" s="4"/>
      <c r="W61" s="4"/>
      <c r="X61" s="4"/>
      <c r="Y61" s="4"/>
      <c r="Z61" s="4"/>
      <c r="AA61" s="4">
        <f t="shared" si="32"/>
        <v>13170000</v>
      </c>
      <c r="AB61" s="4">
        <f t="shared" si="32"/>
        <v>12102000</v>
      </c>
      <c r="AC61" s="4">
        <f t="shared" si="33"/>
        <v>1068000</v>
      </c>
      <c r="AD61" s="43">
        <f t="shared" si="34"/>
        <v>8.1093394077448746</v>
      </c>
      <c r="AE61" s="34"/>
      <c r="AF61" s="38"/>
      <c r="AG61" s="38"/>
      <c r="AH61" s="2"/>
      <c r="AI61" s="2"/>
    </row>
    <row r="62" spans="1:35" hidden="1" x14ac:dyDescent="0.25">
      <c r="A62" s="5" t="s">
        <v>30</v>
      </c>
      <c r="B62" s="4"/>
      <c r="C62" s="4"/>
      <c r="D62" s="4"/>
      <c r="E62" s="4">
        <f t="shared" si="18"/>
        <v>0</v>
      </c>
      <c r="F62" s="4" t="e">
        <f>+'202501anual'!#REF!</f>
        <v>#REF!</v>
      </c>
      <c r="G62" s="4"/>
      <c r="H62" s="4" t="e">
        <f t="shared" si="19"/>
        <v>#REF!</v>
      </c>
      <c r="I62" s="4" t="e">
        <f>+'202501anual'!#REF!</f>
        <v>#REF!</v>
      </c>
      <c r="J62" s="4"/>
      <c r="K62" s="4" t="e">
        <f t="shared" si="28"/>
        <v>#REF!</v>
      </c>
      <c r="L62" s="4" t="e">
        <f>+'202501anual'!#REF!</f>
        <v>#REF!</v>
      </c>
      <c r="M62" s="4"/>
      <c r="N62" s="4" t="e">
        <f t="shared" si="29"/>
        <v>#REF!</v>
      </c>
      <c r="O62" s="4" t="e">
        <f>+'202501anual'!#REF!</f>
        <v>#REF!</v>
      </c>
      <c r="P62" s="4"/>
      <c r="Q62" s="4" t="e">
        <f t="shared" si="30"/>
        <v>#REF!</v>
      </c>
      <c r="R62" s="4" t="e">
        <f>+'202501anual'!#REF!</f>
        <v>#REF!</v>
      </c>
      <c r="S62" s="4"/>
      <c r="T62" s="4" t="e">
        <f t="shared" si="31"/>
        <v>#REF!</v>
      </c>
      <c r="U62" s="4"/>
      <c r="V62" s="4"/>
      <c r="W62" s="4"/>
      <c r="X62" s="4"/>
      <c r="Y62" s="4"/>
      <c r="Z62" s="4"/>
      <c r="AA62" s="4" t="e">
        <f t="shared" si="32"/>
        <v>#REF!</v>
      </c>
      <c r="AB62" s="4">
        <f t="shared" si="32"/>
        <v>0</v>
      </c>
      <c r="AC62" s="4" t="e">
        <f t="shared" si="33"/>
        <v>#REF!</v>
      </c>
      <c r="AD62" s="43" t="e">
        <f t="shared" si="34"/>
        <v>#REF!</v>
      </c>
      <c r="AE62" s="34"/>
      <c r="AF62" s="38"/>
      <c r="AG62" s="38"/>
      <c r="AH62" s="2"/>
      <c r="AI62" s="2"/>
    </row>
    <row r="63" spans="1:35" hidden="1" x14ac:dyDescent="0.25">
      <c r="A63" s="5" t="s">
        <v>31</v>
      </c>
      <c r="B63" s="4"/>
      <c r="C63" s="4"/>
      <c r="D63" s="4"/>
      <c r="E63" s="4">
        <f t="shared" si="18"/>
        <v>0</v>
      </c>
      <c r="F63" s="4" t="e">
        <f>+'202501anual'!#REF!</f>
        <v>#REF!</v>
      </c>
      <c r="G63" s="4"/>
      <c r="H63" s="4" t="e">
        <f t="shared" si="19"/>
        <v>#REF!</v>
      </c>
      <c r="I63" s="4" t="e">
        <f>+'202501anual'!#REF!</f>
        <v>#REF!</v>
      </c>
      <c r="J63" s="4"/>
      <c r="K63" s="4" t="e">
        <f t="shared" si="28"/>
        <v>#REF!</v>
      </c>
      <c r="L63" s="4" t="e">
        <f>+'202501anual'!#REF!</f>
        <v>#REF!</v>
      </c>
      <c r="M63" s="4"/>
      <c r="N63" s="4" t="e">
        <f t="shared" si="29"/>
        <v>#REF!</v>
      </c>
      <c r="O63" s="4" t="e">
        <f>+'202501anual'!#REF!</f>
        <v>#REF!</v>
      </c>
      <c r="P63" s="4"/>
      <c r="Q63" s="4" t="e">
        <f t="shared" si="30"/>
        <v>#REF!</v>
      </c>
      <c r="R63" s="4" t="e">
        <f>+'202501anual'!#REF!</f>
        <v>#REF!</v>
      </c>
      <c r="S63" s="4"/>
      <c r="T63" s="4" t="e">
        <f t="shared" si="31"/>
        <v>#REF!</v>
      </c>
      <c r="U63" s="4"/>
      <c r="V63" s="4"/>
      <c r="W63" s="4"/>
      <c r="X63" s="4"/>
      <c r="Y63" s="4"/>
      <c r="Z63" s="4"/>
      <c r="AA63" s="4" t="e">
        <f t="shared" si="32"/>
        <v>#REF!</v>
      </c>
      <c r="AB63" s="4">
        <f t="shared" si="32"/>
        <v>0</v>
      </c>
      <c r="AC63" s="4" t="e">
        <f t="shared" si="33"/>
        <v>#REF!</v>
      </c>
      <c r="AD63" s="43" t="e">
        <f t="shared" si="34"/>
        <v>#REF!</v>
      </c>
      <c r="AE63" s="34"/>
      <c r="AF63" s="38"/>
      <c r="AG63" s="38"/>
      <c r="AH63" s="2"/>
      <c r="AI63" s="2"/>
    </row>
    <row r="64" spans="1:35" x14ac:dyDescent="0.25">
      <c r="A64" s="21" t="s">
        <v>32</v>
      </c>
      <c r="B64" s="4">
        <v>32400000</v>
      </c>
      <c r="C64" s="4">
        <v>2700000</v>
      </c>
      <c r="D64" s="4">
        <v>2112800</v>
      </c>
      <c r="E64" s="4">
        <f t="shared" si="18"/>
        <v>587200</v>
      </c>
      <c r="F64" s="4">
        <f>+'202501anual'!D130</f>
        <v>0</v>
      </c>
      <c r="G64" s="4"/>
      <c r="H64" s="4">
        <f t="shared" si="19"/>
        <v>0</v>
      </c>
      <c r="I64" s="4">
        <f>+'202501anual'!E130</f>
        <v>1200000</v>
      </c>
      <c r="J64" s="4"/>
      <c r="K64" s="4">
        <f t="shared" si="28"/>
        <v>1200000</v>
      </c>
      <c r="L64" s="4">
        <f>+'202501anual'!F130</f>
        <v>950000</v>
      </c>
      <c r="M64" s="4">
        <v>0</v>
      </c>
      <c r="N64" s="4">
        <f t="shared" si="29"/>
        <v>950000</v>
      </c>
      <c r="O64" s="4">
        <f>+'202501anual'!G130</f>
        <v>0</v>
      </c>
      <c r="P64" s="4">
        <v>0</v>
      </c>
      <c r="Q64" s="4">
        <f t="shared" si="30"/>
        <v>0</v>
      </c>
      <c r="R64" s="4">
        <f>+'202501anual'!H130</f>
        <v>0</v>
      </c>
      <c r="S64" s="4"/>
      <c r="T64" s="4">
        <f t="shared" si="31"/>
        <v>0</v>
      </c>
      <c r="U64" s="4"/>
      <c r="V64" s="4"/>
      <c r="W64" s="4"/>
      <c r="X64" s="4"/>
      <c r="Y64" s="4"/>
      <c r="Z64" s="4"/>
      <c r="AA64" s="4">
        <f t="shared" si="32"/>
        <v>4850000</v>
      </c>
      <c r="AB64" s="4">
        <f t="shared" si="32"/>
        <v>2112800</v>
      </c>
      <c r="AC64" s="4">
        <f t="shared" si="33"/>
        <v>2737200</v>
      </c>
      <c r="AD64" s="43">
        <f t="shared" si="34"/>
        <v>56.437113402061854</v>
      </c>
      <c r="AE64" s="34"/>
      <c r="AF64" s="38"/>
      <c r="AG64" s="38"/>
      <c r="AH64" s="2"/>
      <c r="AI64" s="2"/>
    </row>
    <row r="65" spans="1:35" x14ac:dyDescent="0.25">
      <c r="A65" s="5" t="s">
        <v>82</v>
      </c>
      <c r="B65" s="4">
        <v>11550000</v>
      </c>
      <c r="C65" s="4">
        <v>0</v>
      </c>
      <c r="D65" s="4">
        <v>0</v>
      </c>
      <c r="E65" s="4">
        <f t="shared" si="18"/>
        <v>0</v>
      </c>
      <c r="F65" s="4">
        <f>+'202501anual'!D131</f>
        <v>0</v>
      </c>
      <c r="G65" s="4"/>
      <c r="H65" s="4">
        <f t="shared" si="19"/>
        <v>0</v>
      </c>
      <c r="I65" s="4">
        <f>+'202501anual'!E131</f>
        <v>1000000</v>
      </c>
      <c r="J65" s="4">
        <v>1762283</v>
      </c>
      <c r="K65" s="4">
        <f t="shared" si="28"/>
        <v>-762283</v>
      </c>
      <c r="L65" s="4">
        <f>+'202501anual'!F131</f>
        <v>0</v>
      </c>
      <c r="M65" s="4">
        <v>2635657.7999999998</v>
      </c>
      <c r="N65" s="4">
        <f t="shared" si="29"/>
        <v>-2635657.7999999998</v>
      </c>
      <c r="O65" s="4">
        <f>+'202501anual'!G131</f>
        <v>8000000</v>
      </c>
      <c r="P65" s="4">
        <v>0</v>
      </c>
      <c r="Q65" s="4">
        <f t="shared" si="30"/>
        <v>8000000</v>
      </c>
      <c r="R65" s="4">
        <f>+'202501anual'!H131</f>
        <v>6500000</v>
      </c>
      <c r="S65" s="4"/>
      <c r="T65" s="4">
        <f t="shared" si="31"/>
        <v>6500000</v>
      </c>
      <c r="U65" s="4"/>
      <c r="V65" s="4"/>
      <c r="W65" s="4"/>
      <c r="X65" s="4"/>
      <c r="Y65" s="4"/>
      <c r="Z65" s="4"/>
      <c r="AA65" s="4">
        <f t="shared" si="32"/>
        <v>15500000</v>
      </c>
      <c r="AB65" s="4">
        <f t="shared" si="32"/>
        <v>4397940.8</v>
      </c>
      <c r="AC65" s="4">
        <f t="shared" si="33"/>
        <v>11102059.199999999</v>
      </c>
      <c r="AD65" s="43">
        <v>0</v>
      </c>
      <c r="AE65" s="34"/>
      <c r="AF65" s="38"/>
      <c r="AG65" s="38"/>
      <c r="AH65" s="2"/>
      <c r="AI65" s="2"/>
    </row>
    <row r="66" spans="1:35" x14ac:dyDescent="0.25">
      <c r="A66" s="5" t="s">
        <v>81</v>
      </c>
      <c r="B66" s="4">
        <v>36000000</v>
      </c>
      <c r="C66" s="4">
        <v>3000000</v>
      </c>
      <c r="D66" s="4">
        <v>0</v>
      </c>
      <c r="E66" s="4">
        <f t="shared" si="18"/>
        <v>3000000</v>
      </c>
      <c r="F66" s="4">
        <f>+'202501anual'!D132</f>
        <v>0</v>
      </c>
      <c r="G66" s="4"/>
      <c r="H66" s="4">
        <f t="shared" si="19"/>
        <v>0</v>
      </c>
      <c r="I66" s="4">
        <f>+'202501anual'!E132</f>
        <v>0</v>
      </c>
      <c r="J66" s="4"/>
      <c r="K66" s="4">
        <f t="shared" si="28"/>
        <v>0</v>
      </c>
      <c r="L66" s="4">
        <f>+'202501anual'!F132</f>
        <v>0</v>
      </c>
      <c r="M66" s="4">
        <v>0</v>
      </c>
      <c r="N66" s="4">
        <f t="shared" si="29"/>
        <v>0</v>
      </c>
      <c r="O66" s="4">
        <f>+'202501anual'!G132</f>
        <v>0</v>
      </c>
      <c r="P66" s="4">
        <v>0</v>
      </c>
      <c r="Q66" s="4">
        <f t="shared" si="30"/>
        <v>0</v>
      </c>
      <c r="R66" s="4">
        <f>+'202501anual'!H132</f>
        <v>0</v>
      </c>
      <c r="S66" s="4"/>
      <c r="T66" s="4">
        <f t="shared" si="31"/>
        <v>0</v>
      </c>
      <c r="U66" s="4"/>
      <c r="V66" s="4"/>
      <c r="W66" s="4"/>
      <c r="X66" s="4"/>
      <c r="Y66" s="4"/>
      <c r="Z66" s="4"/>
      <c r="AA66" s="4">
        <f t="shared" si="32"/>
        <v>3000000</v>
      </c>
      <c r="AB66" s="4">
        <f t="shared" si="32"/>
        <v>0</v>
      </c>
      <c r="AC66" s="4">
        <f t="shared" si="33"/>
        <v>3000000</v>
      </c>
      <c r="AD66" s="43">
        <f t="shared" si="34"/>
        <v>100</v>
      </c>
      <c r="AE66" s="34"/>
      <c r="AF66" s="38"/>
      <c r="AG66" s="38"/>
      <c r="AH66" s="2"/>
      <c r="AI66" s="2"/>
    </row>
    <row r="67" spans="1:35" x14ac:dyDescent="0.25">
      <c r="A67" s="5" t="s">
        <v>93</v>
      </c>
      <c r="B67" s="4">
        <v>36000000</v>
      </c>
      <c r="C67" s="4">
        <v>1500000</v>
      </c>
      <c r="D67" s="4">
        <v>2126080</v>
      </c>
      <c r="E67" s="4">
        <f t="shared" si="18"/>
        <v>-626080</v>
      </c>
      <c r="F67" s="4">
        <f>+'202501anual'!D133</f>
        <v>4600000</v>
      </c>
      <c r="G67" s="4">
        <v>2078688</v>
      </c>
      <c r="H67" s="4">
        <f t="shared" si="19"/>
        <v>2521312</v>
      </c>
      <c r="I67" s="4">
        <f>+'202501anual'!E133</f>
        <v>4600000</v>
      </c>
      <c r="J67" s="4">
        <f>+[6]EjecucionPptalPasiva!$Q$398</f>
        <v>1686820</v>
      </c>
      <c r="K67" s="4">
        <f t="shared" si="28"/>
        <v>2913180</v>
      </c>
      <c r="L67" s="4">
        <f>+'202501anual'!F133</f>
        <v>4600000</v>
      </c>
      <c r="M67" s="4">
        <f>+[5]EjecucionPptalPasiva!$Q$398</f>
        <v>705004</v>
      </c>
      <c r="N67" s="4">
        <f t="shared" si="29"/>
        <v>3894996</v>
      </c>
      <c r="O67" s="4">
        <f>+'202501anual'!G133</f>
        <v>4600000</v>
      </c>
      <c r="P67" s="4">
        <f>102312+708000</f>
        <v>810312</v>
      </c>
      <c r="Q67" s="4">
        <f t="shared" si="30"/>
        <v>3789688</v>
      </c>
      <c r="R67" s="4">
        <f>+'202501anual'!H133</f>
        <v>4600000</v>
      </c>
      <c r="S67" s="4"/>
      <c r="T67" s="4">
        <f t="shared" si="31"/>
        <v>4600000</v>
      </c>
      <c r="U67" s="4"/>
      <c r="V67" s="4"/>
      <c r="W67" s="4"/>
      <c r="X67" s="4"/>
      <c r="Y67" s="4"/>
      <c r="Z67" s="4"/>
      <c r="AA67" s="4">
        <f t="shared" si="32"/>
        <v>24500000</v>
      </c>
      <c r="AB67" s="4">
        <f t="shared" si="32"/>
        <v>7406904</v>
      </c>
      <c r="AC67" s="4">
        <f t="shared" si="33"/>
        <v>17093096</v>
      </c>
      <c r="AD67" s="43">
        <f t="shared" si="34"/>
        <v>69.767738775510196</v>
      </c>
      <c r="AE67" s="34"/>
      <c r="AF67" s="38"/>
      <c r="AG67" s="38"/>
      <c r="AH67" s="2"/>
      <c r="AI67" s="2"/>
    </row>
    <row r="68" spans="1:35" x14ac:dyDescent="0.25">
      <c r="A68" s="5" t="s">
        <v>110</v>
      </c>
      <c r="B68" s="4">
        <v>4000000</v>
      </c>
      <c r="C68" s="4">
        <v>1500000</v>
      </c>
      <c r="D68" s="4">
        <v>7200</v>
      </c>
      <c r="E68" s="4">
        <f t="shared" si="18"/>
        <v>1492800</v>
      </c>
      <c r="F68" s="4">
        <f>+'202501anual'!D134</f>
        <v>100000</v>
      </c>
      <c r="G68" s="4"/>
      <c r="H68" s="4">
        <f t="shared" si="19"/>
        <v>100000</v>
      </c>
      <c r="I68" s="4">
        <f>+'202501anual'!E134</f>
        <v>100000</v>
      </c>
      <c r="J68" s="4">
        <f>+[6]EjecucionPptalPasiva!$Q$275+[6]EjecucionPptalPasiva!$Q$282</f>
        <v>4967400</v>
      </c>
      <c r="K68" s="4">
        <f t="shared" si="28"/>
        <v>-4867400</v>
      </c>
      <c r="L68" s="4">
        <f>+'202501anual'!F134</f>
        <v>100000</v>
      </c>
      <c r="M68" s="4">
        <f>+[5]EjecucionPptalPasiva!$Q$275</f>
        <v>118960</v>
      </c>
      <c r="N68" s="4">
        <f t="shared" si="29"/>
        <v>-18960</v>
      </c>
      <c r="O68" s="4">
        <f>+'202501anual'!G134</f>
        <v>100000</v>
      </c>
      <c r="P68" s="4">
        <v>0</v>
      </c>
      <c r="Q68" s="4">
        <f t="shared" si="30"/>
        <v>100000</v>
      </c>
      <c r="R68" s="4">
        <f>+'202501anual'!H134</f>
        <v>100000</v>
      </c>
      <c r="S68" s="4"/>
      <c r="T68" s="4">
        <f t="shared" si="31"/>
        <v>100000</v>
      </c>
      <c r="U68" s="4"/>
      <c r="V68" s="4"/>
      <c r="W68" s="4"/>
      <c r="X68" s="4"/>
      <c r="Y68" s="4"/>
      <c r="Z68" s="4"/>
      <c r="AA68" s="4">
        <f t="shared" si="32"/>
        <v>2000000</v>
      </c>
      <c r="AB68" s="4">
        <f t="shared" si="32"/>
        <v>5093560</v>
      </c>
      <c r="AC68" s="4">
        <f t="shared" si="33"/>
        <v>-3093560</v>
      </c>
      <c r="AD68" s="43">
        <f t="shared" si="34"/>
        <v>-154.678</v>
      </c>
      <c r="AE68" s="34"/>
      <c r="AF68" s="38"/>
      <c r="AG68" s="38"/>
      <c r="AH68" s="2"/>
      <c r="AI68" s="2"/>
    </row>
    <row r="69" spans="1:35" x14ac:dyDescent="0.25">
      <c r="A69" s="21" t="s">
        <v>79</v>
      </c>
      <c r="B69" s="4">
        <v>7000000</v>
      </c>
      <c r="C69" s="4">
        <v>0</v>
      </c>
      <c r="D69" s="4">
        <v>0</v>
      </c>
      <c r="E69" s="4">
        <f t="shared" si="18"/>
        <v>0</v>
      </c>
      <c r="F69" s="4" t="e">
        <f>+'202501anual'!#REF!</f>
        <v>#REF!</v>
      </c>
      <c r="G69" s="4"/>
      <c r="H69" s="4" t="e">
        <f t="shared" si="19"/>
        <v>#REF!</v>
      </c>
      <c r="I69" s="4" t="e">
        <f>+'202501anual'!#REF!</f>
        <v>#REF!</v>
      </c>
      <c r="J69" s="4"/>
      <c r="K69" s="4" t="e">
        <f t="shared" si="28"/>
        <v>#REF!</v>
      </c>
      <c r="L69" s="4" t="e">
        <f>+'202501anual'!#REF!</f>
        <v>#REF!</v>
      </c>
      <c r="M69" s="4">
        <v>0</v>
      </c>
      <c r="N69" s="4" t="e">
        <f t="shared" si="29"/>
        <v>#REF!</v>
      </c>
      <c r="O69" s="4" t="e">
        <f>+'202501anual'!#REF!</f>
        <v>#REF!</v>
      </c>
      <c r="P69" s="4">
        <v>0</v>
      </c>
      <c r="Q69" s="4" t="e">
        <f t="shared" si="30"/>
        <v>#REF!</v>
      </c>
      <c r="R69" s="4" t="e">
        <f>+'202501anual'!#REF!</f>
        <v>#REF!</v>
      </c>
      <c r="S69" s="4"/>
      <c r="T69" s="4" t="e">
        <f t="shared" si="31"/>
        <v>#REF!</v>
      </c>
      <c r="U69" s="4"/>
      <c r="V69" s="4"/>
      <c r="W69" s="4"/>
      <c r="X69" s="4"/>
      <c r="Y69" s="4"/>
      <c r="Z69" s="4"/>
      <c r="AA69" s="4" t="e">
        <f t="shared" si="32"/>
        <v>#REF!</v>
      </c>
      <c r="AB69" s="4">
        <f t="shared" si="32"/>
        <v>0</v>
      </c>
      <c r="AC69" s="4" t="e">
        <f t="shared" si="33"/>
        <v>#REF!</v>
      </c>
      <c r="AD69" s="43">
        <v>0</v>
      </c>
      <c r="AE69" s="34"/>
      <c r="AF69" s="38"/>
      <c r="AG69" s="38"/>
      <c r="AH69" s="2"/>
      <c r="AI69" s="2"/>
    </row>
    <row r="70" spans="1:35" ht="30" x14ac:dyDescent="0.25">
      <c r="A70" s="21" t="s">
        <v>77</v>
      </c>
      <c r="B70" s="4">
        <v>7000000</v>
      </c>
      <c r="C70" s="4">
        <v>0</v>
      </c>
      <c r="D70" s="4">
        <v>0</v>
      </c>
      <c r="E70" s="4">
        <f t="shared" si="18"/>
        <v>0</v>
      </c>
      <c r="F70" s="4">
        <f>+'202501anual'!D137</f>
        <v>2000000</v>
      </c>
      <c r="G70" s="4"/>
      <c r="H70" s="4">
        <f t="shared" si="19"/>
        <v>2000000</v>
      </c>
      <c r="I70" s="4">
        <f>+'202501anual'!E137</f>
        <v>2000000</v>
      </c>
      <c r="J70" s="4"/>
      <c r="K70" s="4">
        <f t="shared" si="28"/>
        <v>2000000</v>
      </c>
      <c r="L70" s="4">
        <f>+'202501anual'!F137</f>
        <v>2000000</v>
      </c>
      <c r="M70" s="4">
        <v>0</v>
      </c>
      <c r="N70" s="4">
        <f t="shared" si="29"/>
        <v>2000000</v>
      </c>
      <c r="O70" s="4">
        <f>+'202501anual'!G137</f>
        <v>2000000</v>
      </c>
      <c r="P70" s="4">
        <v>0</v>
      </c>
      <c r="Q70" s="4">
        <f t="shared" si="30"/>
        <v>2000000</v>
      </c>
      <c r="R70" s="4">
        <f>+'202501anual'!H137</f>
        <v>2000000</v>
      </c>
      <c r="S70" s="4"/>
      <c r="T70" s="4">
        <f t="shared" si="31"/>
        <v>2000000</v>
      </c>
      <c r="U70" s="4"/>
      <c r="V70" s="4"/>
      <c r="W70" s="4"/>
      <c r="X70" s="4"/>
      <c r="Y70" s="4"/>
      <c r="Z70" s="4"/>
      <c r="AA70" s="4">
        <f t="shared" si="32"/>
        <v>10000000</v>
      </c>
      <c r="AB70" s="4">
        <f t="shared" si="32"/>
        <v>0</v>
      </c>
      <c r="AC70" s="4">
        <f t="shared" si="33"/>
        <v>10000000</v>
      </c>
      <c r="AD70" s="43">
        <v>0</v>
      </c>
      <c r="AE70" s="34"/>
      <c r="AF70" s="38"/>
      <c r="AG70" s="38"/>
      <c r="AH70" s="2"/>
      <c r="AI70" s="2"/>
    </row>
    <row r="71" spans="1:35" ht="30" x14ac:dyDescent="0.25">
      <c r="A71" s="21" t="s">
        <v>80</v>
      </c>
      <c r="B71" s="4">
        <v>4000000</v>
      </c>
      <c r="C71" s="4">
        <v>0</v>
      </c>
      <c r="D71" s="4">
        <v>0</v>
      </c>
      <c r="E71" s="4">
        <f t="shared" si="18"/>
        <v>0</v>
      </c>
      <c r="F71" s="4">
        <f>+'202501anual'!D138</f>
        <v>0</v>
      </c>
      <c r="G71" s="4"/>
      <c r="H71" s="4">
        <f t="shared" si="19"/>
        <v>0</v>
      </c>
      <c r="I71" s="4">
        <f>+'202501anual'!E138</f>
        <v>5000000</v>
      </c>
      <c r="J71" s="4"/>
      <c r="K71" s="4">
        <f t="shared" si="28"/>
        <v>5000000</v>
      </c>
      <c r="L71" s="4">
        <f>+'202501anual'!F138</f>
        <v>3000000</v>
      </c>
      <c r="M71" s="4">
        <v>0</v>
      </c>
      <c r="N71" s="4">
        <f t="shared" si="29"/>
        <v>3000000</v>
      </c>
      <c r="O71" s="4">
        <f>+'202501anual'!G138</f>
        <v>0</v>
      </c>
      <c r="P71" s="4">
        <v>0</v>
      </c>
      <c r="Q71" s="4">
        <f t="shared" si="30"/>
        <v>0</v>
      </c>
      <c r="R71" s="4">
        <f>+'202501anual'!H138</f>
        <v>5000000</v>
      </c>
      <c r="S71" s="4"/>
      <c r="T71" s="4">
        <f t="shared" si="31"/>
        <v>5000000</v>
      </c>
      <c r="U71" s="4"/>
      <c r="V71" s="4"/>
      <c r="W71" s="4"/>
      <c r="X71" s="4"/>
      <c r="Y71" s="4"/>
      <c r="Z71" s="4"/>
      <c r="AA71" s="4">
        <f t="shared" si="32"/>
        <v>13000000</v>
      </c>
      <c r="AB71" s="4">
        <f t="shared" si="32"/>
        <v>0</v>
      </c>
      <c r="AC71" s="4">
        <f t="shared" si="33"/>
        <v>13000000</v>
      </c>
      <c r="AD71" s="43">
        <v>0</v>
      </c>
      <c r="AE71" s="34"/>
      <c r="AF71" s="38"/>
      <c r="AG71" s="38"/>
      <c r="AH71" s="2"/>
      <c r="AI71" s="2"/>
    </row>
    <row r="72" spans="1:35" x14ac:dyDescent="0.25">
      <c r="A72" s="21" t="s">
        <v>70</v>
      </c>
      <c r="B72" s="4">
        <v>64800000</v>
      </c>
      <c r="C72" s="4">
        <v>5400000</v>
      </c>
      <c r="D72" s="4">
        <v>5451000</v>
      </c>
      <c r="E72" s="4">
        <f t="shared" si="18"/>
        <v>-51000</v>
      </c>
      <c r="F72" s="4">
        <f>+'202501anual'!D139</f>
        <v>0</v>
      </c>
      <c r="G72" s="4">
        <v>2725500</v>
      </c>
      <c r="H72" s="4">
        <f t="shared" si="19"/>
        <v>-2725500</v>
      </c>
      <c r="I72" s="4">
        <f>+'202501anual'!E139</f>
        <v>800000</v>
      </c>
      <c r="J72" s="4">
        <f>+[6]EjecucionPptalPasiva!$Q$284</f>
        <v>7994800</v>
      </c>
      <c r="K72" s="4">
        <f t="shared" si="28"/>
        <v>-7194800</v>
      </c>
      <c r="L72" s="4">
        <f>+'202501anual'!F139</f>
        <v>800000</v>
      </c>
      <c r="M72" s="4">
        <f>+[5]EjecucionPptalPasiva!$Q$284</f>
        <v>5451000</v>
      </c>
      <c r="N72" s="4">
        <f t="shared" si="29"/>
        <v>-4651000</v>
      </c>
      <c r="O72" s="4">
        <f>+'202501anual'!G139</f>
        <v>800000</v>
      </c>
      <c r="P72" s="4">
        <v>5451000</v>
      </c>
      <c r="Q72" s="4">
        <f t="shared" si="30"/>
        <v>-4651000</v>
      </c>
      <c r="R72" s="4">
        <f>+'202501anual'!H139</f>
        <v>800000</v>
      </c>
      <c r="S72" s="4"/>
      <c r="T72" s="4">
        <f t="shared" si="31"/>
        <v>800000</v>
      </c>
      <c r="U72" s="4"/>
      <c r="V72" s="4"/>
      <c r="W72" s="4"/>
      <c r="X72" s="4"/>
      <c r="Y72" s="4"/>
      <c r="Z72" s="4"/>
      <c r="AA72" s="4">
        <f t="shared" si="32"/>
        <v>8600000</v>
      </c>
      <c r="AB72" s="4">
        <f t="shared" si="32"/>
        <v>27073300</v>
      </c>
      <c r="AC72" s="4">
        <f t="shared" si="33"/>
        <v>-18473300</v>
      </c>
      <c r="AD72" s="43">
        <f t="shared" si="34"/>
        <v>-214.80581395348838</v>
      </c>
      <c r="AE72" s="34"/>
      <c r="AF72" s="38"/>
      <c r="AG72" s="38"/>
      <c r="AH72" s="2"/>
      <c r="AI72" s="2"/>
    </row>
    <row r="73" spans="1:35" ht="30" x14ac:dyDescent="0.25">
      <c r="A73" s="21" t="s">
        <v>33</v>
      </c>
      <c r="B73" s="4">
        <v>27600000</v>
      </c>
      <c r="C73" s="4">
        <v>2300000</v>
      </c>
      <c r="D73" s="4">
        <v>0</v>
      </c>
      <c r="E73" s="4">
        <f t="shared" si="18"/>
        <v>2300000</v>
      </c>
      <c r="F73" s="4">
        <f>+'202501anual'!D150</f>
        <v>0</v>
      </c>
      <c r="G73" s="4"/>
      <c r="H73" s="4">
        <f t="shared" si="19"/>
        <v>0</v>
      </c>
      <c r="I73" s="4">
        <f>+'202501anual'!E150</f>
        <v>0</v>
      </c>
      <c r="J73" s="4">
        <f>+[6]EjecucionPptalPasiva!$Q$278</f>
        <v>602000</v>
      </c>
      <c r="K73" s="4">
        <f t="shared" si="28"/>
        <v>-602000</v>
      </c>
      <c r="L73" s="4">
        <f>+'202501anual'!F150</f>
        <v>0</v>
      </c>
      <c r="M73" s="4">
        <v>0</v>
      </c>
      <c r="N73" s="4">
        <f t="shared" si="29"/>
        <v>0</v>
      </c>
      <c r="O73" s="4">
        <f>+'202501anual'!G150</f>
        <v>0</v>
      </c>
      <c r="P73" s="4">
        <v>0</v>
      </c>
      <c r="Q73" s="4">
        <f t="shared" si="30"/>
        <v>0</v>
      </c>
      <c r="R73" s="4">
        <f>+'202501anual'!H150</f>
        <v>0</v>
      </c>
      <c r="S73" s="4"/>
      <c r="T73" s="4">
        <f t="shared" si="31"/>
        <v>0</v>
      </c>
      <c r="U73" s="4"/>
      <c r="V73" s="4"/>
      <c r="W73" s="4"/>
      <c r="X73" s="4"/>
      <c r="Y73" s="4"/>
      <c r="Z73" s="4"/>
      <c r="AA73" s="4">
        <f t="shared" si="32"/>
        <v>2300000</v>
      </c>
      <c r="AB73" s="4">
        <f t="shared" si="32"/>
        <v>602000</v>
      </c>
      <c r="AC73" s="4">
        <f t="shared" si="33"/>
        <v>1698000</v>
      </c>
      <c r="AD73" s="43">
        <f t="shared" si="34"/>
        <v>73.826086956521735</v>
      </c>
      <c r="AE73" s="34"/>
      <c r="AF73" s="38"/>
      <c r="AG73" s="38"/>
      <c r="AH73" s="2"/>
      <c r="AI73" s="2"/>
    </row>
    <row r="74" spans="1:35" x14ac:dyDescent="0.25">
      <c r="A74" s="5" t="s">
        <v>75</v>
      </c>
      <c r="B74" s="4">
        <v>36000000</v>
      </c>
      <c r="C74" s="4">
        <v>3000000</v>
      </c>
      <c r="D74" s="4">
        <v>0</v>
      </c>
      <c r="E74" s="4">
        <f t="shared" si="18"/>
        <v>3000000</v>
      </c>
      <c r="F74" s="4">
        <f>+'202501anual'!D151</f>
        <v>0</v>
      </c>
      <c r="G74" s="4"/>
      <c r="H74" s="4">
        <f t="shared" si="19"/>
        <v>0</v>
      </c>
      <c r="I74" s="4">
        <f>+'202501anual'!E151</f>
        <v>0</v>
      </c>
      <c r="J74" s="4"/>
      <c r="K74" s="4">
        <f t="shared" si="28"/>
        <v>0</v>
      </c>
      <c r="L74" s="4">
        <f>+'202501anual'!F151</f>
        <v>0</v>
      </c>
      <c r="M74" s="4">
        <v>0</v>
      </c>
      <c r="N74" s="4">
        <f t="shared" si="29"/>
        <v>0</v>
      </c>
      <c r="O74" s="4">
        <f>+'202501anual'!G151</f>
        <v>0</v>
      </c>
      <c r="P74" s="4">
        <v>0</v>
      </c>
      <c r="Q74" s="4">
        <f t="shared" si="30"/>
        <v>0</v>
      </c>
      <c r="R74" s="4">
        <f>+'202501anual'!H151</f>
        <v>0</v>
      </c>
      <c r="S74" s="4"/>
      <c r="T74" s="4">
        <f t="shared" si="31"/>
        <v>0</v>
      </c>
      <c r="U74" s="4"/>
      <c r="V74" s="4"/>
      <c r="W74" s="4"/>
      <c r="X74" s="4"/>
      <c r="Y74" s="4"/>
      <c r="Z74" s="4"/>
      <c r="AA74" s="4">
        <f t="shared" si="32"/>
        <v>3000000</v>
      </c>
      <c r="AB74" s="4">
        <f t="shared" si="32"/>
        <v>0</v>
      </c>
      <c r="AC74" s="4">
        <f t="shared" si="33"/>
        <v>3000000</v>
      </c>
      <c r="AD74" s="43">
        <f t="shared" si="34"/>
        <v>100</v>
      </c>
      <c r="AE74" s="34"/>
      <c r="AF74" s="38"/>
      <c r="AG74" s="38"/>
      <c r="AH74" s="2"/>
      <c r="AI74" s="2"/>
    </row>
    <row r="75" spans="1:35" x14ac:dyDescent="0.25">
      <c r="A75" s="5" t="s">
        <v>87</v>
      </c>
      <c r="B75" s="4">
        <v>18823282</v>
      </c>
      <c r="C75" s="4">
        <v>224000</v>
      </c>
      <c r="D75" s="4">
        <v>0</v>
      </c>
      <c r="E75" s="4">
        <f t="shared" si="18"/>
        <v>224000</v>
      </c>
      <c r="F75" s="4" t="e">
        <f>+'202501anual'!#REF!</f>
        <v>#REF!</v>
      </c>
      <c r="G75" s="4"/>
      <c r="H75" s="4" t="e">
        <f t="shared" si="19"/>
        <v>#REF!</v>
      </c>
      <c r="I75" s="4" t="e">
        <f>+'202501anual'!#REF!</f>
        <v>#REF!</v>
      </c>
      <c r="J75" s="4"/>
      <c r="K75" s="4" t="e">
        <f t="shared" si="28"/>
        <v>#REF!</v>
      </c>
      <c r="L75" s="4" t="e">
        <f>+'202501anual'!#REF!</f>
        <v>#REF!</v>
      </c>
      <c r="M75" s="4">
        <v>0</v>
      </c>
      <c r="N75" s="4" t="e">
        <f t="shared" si="29"/>
        <v>#REF!</v>
      </c>
      <c r="O75" s="4" t="e">
        <f>+'202501anual'!#REF!</f>
        <v>#REF!</v>
      </c>
      <c r="P75" s="4">
        <v>0</v>
      </c>
      <c r="Q75" s="4" t="e">
        <f t="shared" si="30"/>
        <v>#REF!</v>
      </c>
      <c r="R75" s="4" t="e">
        <f>+'202501anual'!#REF!</f>
        <v>#REF!</v>
      </c>
      <c r="S75" s="4"/>
      <c r="T75" s="4" t="e">
        <f t="shared" si="31"/>
        <v>#REF!</v>
      </c>
      <c r="U75" s="4"/>
      <c r="V75" s="4"/>
      <c r="W75" s="4"/>
      <c r="X75" s="4"/>
      <c r="Y75" s="4"/>
      <c r="Z75" s="4"/>
      <c r="AA75" s="4" t="e">
        <f t="shared" si="32"/>
        <v>#REF!</v>
      </c>
      <c r="AB75" s="4">
        <f t="shared" si="32"/>
        <v>0</v>
      </c>
      <c r="AC75" s="4" t="e">
        <f t="shared" si="33"/>
        <v>#REF!</v>
      </c>
      <c r="AD75" s="43" t="e">
        <f t="shared" si="34"/>
        <v>#REF!</v>
      </c>
      <c r="AE75" s="34"/>
      <c r="AF75" s="38"/>
      <c r="AG75" s="38"/>
      <c r="AH75" s="2"/>
      <c r="AI75" s="2"/>
    </row>
    <row r="76" spans="1:35" x14ac:dyDescent="0.25">
      <c r="A76" s="5" t="s">
        <v>68</v>
      </c>
      <c r="B76" s="4">
        <v>14400000</v>
      </c>
      <c r="C76" s="4">
        <v>1200000</v>
      </c>
      <c r="D76" s="4">
        <v>4473800</v>
      </c>
      <c r="E76" s="4">
        <f t="shared" si="18"/>
        <v>-3273800</v>
      </c>
      <c r="F76" s="4">
        <f>+'202501anual'!D152</f>
        <v>2000000</v>
      </c>
      <c r="G76" s="4">
        <v>1256880</v>
      </c>
      <c r="H76" s="4">
        <f t="shared" si="19"/>
        <v>743120</v>
      </c>
      <c r="I76" s="4">
        <f>+'202501anual'!E152</f>
        <v>2000000</v>
      </c>
      <c r="J76" s="4">
        <f>+[6]EjecucionPptalPasiva!$Q$279</f>
        <v>2009690</v>
      </c>
      <c r="K76" s="4">
        <f t="shared" si="28"/>
        <v>-9690</v>
      </c>
      <c r="L76" s="4">
        <f>+'202501anual'!F152</f>
        <v>2000000</v>
      </c>
      <c r="M76" s="4">
        <v>0</v>
      </c>
      <c r="N76" s="4">
        <f t="shared" si="29"/>
        <v>2000000</v>
      </c>
      <c r="O76" s="4">
        <f>+'202501anual'!G152</f>
        <v>2000000</v>
      </c>
      <c r="P76" s="4">
        <v>0</v>
      </c>
      <c r="Q76" s="4">
        <f t="shared" si="30"/>
        <v>2000000</v>
      </c>
      <c r="R76" s="4">
        <f>+'202501anual'!H152</f>
        <v>2000000</v>
      </c>
      <c r="S76" s="4"/>
      <c r="T76" s="4">
        <f t="shared" si="31"/>
        <v>2000000</v>
      </c>
      <c r="U76" s="4"/>
      <c r="V76" s="4"/>
      <c r="W76" s="4"/>
      <c r="X76" s="4"/>
      <c r="Y76" s="4"/>
      <c r="Z76" s="4"/>
      <c r="AA76" s="4">
        <f t="shared" si="32"/>
        <v>11200000</v>
      </c>
      <c r="AB76" s="4">
        <f t="shared" si="32"/>
        <v>7740370</v>
      </c>
      <c r="AC76" s="4">
        <f t="shared" si="33"/>
        <v>3459630</v>
      </c>
      <c r="AD76" s="43">
        <f t="shared" si="34"/>
        <v>30.889553571428575</v>
      </c>
      <c r="AE76" s="34"/>
      <c r="AF76" s="38"/>
      <c r="AG76" s="38"/>
      <c r="AH76" s="2"/>
      <c r="AI76" s="2"/>
    </row>
    <row r="77" spans="1:35" x14ac:dyDescent="0.25">
      <c r="A77" s="21" t="s">
        <v>67</v>
      </c>
      <c r="B77" s="4">
        <v>7798000</v>
      </c>
      <c r="C77" s="4">
        <v>519000</v>
      </c>
      <c r="D77" s="4">
        <v>0</v>
      </c>
      <c r="E77" s="4">
        <f t="shared" si="18"/>
        <v>519000</v>
      </c>
      <c r="F77" s="4" t="e">
        <f>+'202501anual'!#REF!</f>
        <v>#REF!</v>
      </c>
      <c r="G77" s="4">
        <v>530000</v>
      </c>
      <c r="H77" s="4" t="e">
        <f t="shared" si="19"/>
        <v>#REF!</v>
      </c>
      <c r="I77" s="4" t="e">
        <f>+'202501anual'!#REF!</f>
        <v>#REF!</v>
      </c>
      <c r="J77" s="4">
        <f>+[6]EjecucionPptalPasiva!$Q$231</f>
        <v>1918811</v>
      </c>
      <c r="K77" s="4" t="e">
        <f t="shared" si="28"/>
        <v>#REF!</v>
      </c>
      <c r="L77" s="4" t="e">
        <f>+'202501anual'!#REF!</f>
        <v>#REF!</v>
      </c>
      <c r="M77" s="4">
        <f>+[5]EjecucionPptalPasiva!$O$231</f>
        <v>634434</v>
      </c>
      <c r="N77" s="4" t="e">
        <f t="shared" si="29"/>
        <v>#REF!</v>
      </c>
      <c r="O77" s="4" t="e">
        <f>+'202501anual'!#REF!</f>
        <v>#REF!</v>
      </c>
      <c r="P77" s="4">
        <f>1190185</f>
        <v>1190185</v>
      </c>
      <c r="Q77" s="4" t="e">
        <f t="shared" si="30"/>
        <v>#REF!</v>
      </c>
      <c r="R77" s="4" t="e">
        <f>+'202501anual'!#REF!</f>
        <v>#REF!</v>
      </c>
      <c r="S77" s="4"/>
      <c r="T77" s="4" t="e">
        <f t="shared" si="31"/>
        <v>#REF!</v>
      </c>
      <c r="U77" s="4"/>
      <c r="V77" s="4"/>
      <c r="W77" s="4"/>
      <c r="X77" s="4"/>
      <c r="Y77" s="4"/>
      <c r="Z77" s="4"/>
      <c r="AA77" s="4" t="e">
        <f t="shared" si="32"/>
        <v>#REF!</v>
      </c>
      <c r="AB77" s="4">
        <f t="shared" si="32"/>
        <v>4273430</v>
      </c>
      <c r="AC77" s="4" t="e">
        <f t="shared" si="33"/>
        <v>#REF!</v>
      </c>
      <c r="AD77" s="43" t="e">
        <f t="shared" si="34"/>
        <v>#REF!</v>
      </c>
      <c r="AE77" s="34"/>
      <c r="AF77" s="38"/>
      <c r="AG77" s="38"/>
      <c r="AH77" s="2"/>
      <c r="AI77" s="2"/>
    </row>
    <row r="78" spans="1:35" x14ac:dyDescent="0.25">
      <c r="A78" s="21" t="s">
        <v>86</v>
      </c>
      <c r="B78" s="4">
        <v>54736747</v>
      </c>
      <c r="C78" s="4">
        <v>5061458.5192123605</v>
      </c>
      <c r="D78" s="4">
        <v>1210918</v>
      </c>
      <c r="E78" s="4">
        <f t="shared" si="18"/>
        <v>3850540.5192123605</v>
      </c>
      <c r="F78" s="4">
        <f>+'202501anual'!D153</f>
        <v>2750000</v>
      </c>
      <c r="G78" s="4">
        <v>3835014</v>
      </c>
      <c r="H78" s="4">
        <f t="shared" si="19"/>
        <v>-1085014</v>
      </c>
      <c r="I78" s="4">
        <f>+'202501anual'!E153</f>
        <v>2750000</v>
      </c>
      <c r="J78" s="4">
        <v>2178767</v>
      </c>
      <c r="K78" s="4">
        <f t="shared" si="28"/>
        <v>571233</v>
      </c>
      <c r="L78" s="4">
        <f>+'202501anual'!F153</f>
        <v>2750000</v>
      </c>
      <c r="M78" s="4">
        <f>+[5]EjecucionPptalPasiva!$Q$298</f>
        <v>3478598</v>
      </c>
      <c r="N78" s="4">
        <f t="shared" si="29"/>
        <v>-728598</v>
      </c>
      <c r="O78" s="4">
        <f>+'202501anual'!G153</f>
        <v>2750000</v>
      </c>
      <c r="P78" s="4">
        <v>2819448</v>
      </c>
      <c r="Q78" s="4">
        <f t="shared" si="30"/>
        <v>-69448</v>
      </c>
      <c r="R78" s="4">
        <f>+'202501anual'!H153</f>
        <v>2750000</v>
      </c>
      <c r="S78" s="4"/>
      <c r="T78" s="4">
        <f t="shared" si="31"/>
        <v>2750000</v>
      </c>
      <c r="U78" s="4"/>
      <c r="V78" s="4"/>
      <c r="W78" s="4"/>
      <c r="X78" s="4"/>
      <c r="Y78" s="4"/>
      <c r="Z78" s="4"/>
      <c r="AA78" s="4">
        <f t="shared" si="32"/>
        <v>18811458.519212361</v>
      </c>
      <c r="AB78" s="4">
        <f t="shared" si="32"/>
        <v>13522745</v>
      </c>
      <c r="AC78" s="4">
        <f t="shared" si="33"/>
        <v>5288713.5192123614</v>
      </c>
      <c r="AD78" s="43">
        <f t="shared" si="34"/>
        <v>28.114319332607501</v>
      </c>
      <c r="AE78" s="34"/>
      <c r="AF78" s="38"/>
      <c r="AG78" s="38"/>
      <c r="AH78" s="2"/>
      <c r="AI78" s="2"/>
    </row>
    <row r="79" spans="1:35" x14ac:dyDescent="0.25">
      <c r="A79" s="5" t="s">
        <v>108</v>
      </c>
      <c r="B79" s="4">
        <v>36000000</v>
      </c>
      <c r="C79" s="4">
        <v>3000000</v>
      </c>
      <c r="D79" s="4">
        <v>0</v>
      </c>
      <c r="E79" s="4">
        <f t="shared" si="18"/>
        <v>3000000</v>
      </c>
      <c r="F79" s="4">
        <f>+'202501anual'!D154</f>
        <v>0</v>
      </c>
      <c r="G79" s="4"/>
      <c r="H79" s="4">
        <f t="shared" si="19"/>
        <v>0</v>
      </c>
      <c r="I79" s="4">
        <f>+'202501anual'!E154</f>
        <v>0</v>
      </c>
      <c r="J79" s="4"/>
      <c r="K79" s="4">
        <f t="shared" si="28"/>
        <v>0</v>
      </c>
      <c r="L79" s="4">
        <f>+'202501anual'!F154</f>
        <v>0</v>
      </c>
      <c r="M79" s="4">
        <v>0</v>
      </c>
      <c r="N79" s="4">
        <f t="shared" si="29"/>
        <v>0</v>
      </c>
      <c r="O79" s="4">
        <f>+'202501anual'!G154</f>
        <v>4000000</v>
      </c>
      <c r="P79" s="4">
        <v>0</v>
      </c>
      <c r="Q79" s="4">
        <f t="shared" si="30"/>
        <v>4000000</v>
      </c>
      <c r="R79" s="4">
        <f>+'202501anual'!H154</f>
        <v>0</v>
      </c>
      <c r="S79" s="4"/>
      <c r="T79" s="4">
        <f t="shared" si="31"/>
        <v>0</v>
      </c>
      <c r="U79" s="4"/>
      <c r="V79" s="4"/>
      <c r="W79" s="4"/>
      <c r="X79" s="4"/>
      <c r="Y79" s="4"/>
      <c r="Z79" s="4"/>
      <c r="AA79" s="4">
        <f t="shared" si="32"/>
        <v>7000000</v>
      </c>
      <c r="AB79" s="4">
        <f t="shared" si="32"/>
        <v>0</v>
      </c>
      <c r="AC79" s="4">
        <f t="shared" si="33"/>
        <v>7000000</v>
      </c>
      <c r="AD79" s="43">
        <f t="shared" si="34"/>
        <v>100</v>
      </c>
      <c r="AE79" s="34"/>
      <c r="AF79" s="38"/>
      <c r="AG79" s="38"/>
      <c r="AH79" s="2"/>
      <c r="AI79" s="2"/>
    </row>
    <row r="80" spans="1:35" x14ac:dyDescent="0.25">
      <c r="A80" s="5" t="s">
        <v>76</v>
      </c>
      <c r="B80" s="4">
        <v>15000000</v>
      </c>
      <c r="C80" s="4">
        <v>0</v>
      </c>
      <c r="D80" s="4">
        <v>0</v>
      </c>
      <c r="E80" s="4">
        <f t="shared" si="18"/>
        <v>0</v>
      </c>
      <c r="F80" s="4">
        <f>+'202501anual'!D155</f>
        <v>1400000</v>
      </c>
      <c r="G80" s="4"/>
      <c r="H80" s="4">
        <f t="shared" si="19"/>
        <v>1400000</v>
      </c>
      <c r="I80" s="4">
        <f>+'202501anual'!E155</f>
        <v>1400000</v>
      </c>
      <c r="J80" s="4"/>
      <c r="K80" s="4">
        <f t="shared" si="28"/>
        <v>1400000</v>
      </c>
      <c r="L80" s="4">
        <f>+'202501anual'!F155</f>
        <v>1430000</v>
      </c>
      <c r="M80" s="4">
        <v>0</v>
      </c>
      <c r="N80" s="4">
        <f t="shared" si="29"/>
        <v>1430000</v>
      </c>
      <c r="O80" s="4">
        <f>+'202501anual'!G155</f>
        <v>1400000</v>
      </c>
      <c r="P80" s="4">
        <v>0</v>
      </c>
      <c r="Q80" s="4">
        <f t="shared" si="30"/>
        <v>1400000</v>
      </c>
      <c r="R80" s="4">
        <f>+'202501anual'!H155</f>
        <v>1400000</v>
      </c>
      <c r="S80" s="4"/>
      <c r="T80" s="4">
        <f t="shared" si="31"/>
        <v>1400000</v>
      </c>
      <c r="U80" s="4"/>
      <c r="V80" s="4"/>
      <c r="W80" s="4"/>
      <c r="X80" s="4"/>
      <c r="Y80" s="4"/>
      <c r="Z80" s="4"/>
      <c r="AA80" s="4">
        <f t="shared" si="32"/>
        <v>7030000</v>
      </c>
      <c r="AB80" s="4">
        <f t="shared" si="32"/>
        <v>0</v>
      </c>
      <c r="AC80" s="4">
        <f t="shared" si="33"/>
        <v>7030000</v>
      </c>
      <c r="AD80" s="43">
        <v>0</v>
      </c>
      <c r="AE80" s="34"/>
      <c r="AF80" s="38"/>
      <c r="AG80" s="38"/>
      <c r="AH80" s="2"/>
      <c r="AI80" s="2"/>
    </row>
    <row r="81" spans="1:38" x14ac:dyDescent="0.25">
      <c r="A81" s="5" t="s">
        <v>61</v>
      </c>
      <c r="B81" s="4">
        <v>12000000</v>
      </c>
      <c r="C81" s="4">
        <v>0</v>
      </c>
      <c r="D81" s="4">
        <v>0</v>
      </c>
      <c r="E81" s="4">
        <f t="shared" si="18"/>
        <v>0</v>
      </c>
      <c r="F81" s="4">
        <f>+'202501anual'!D156</f>
        <v>0</v>
      </c>
      <c r="G81" s="4"/>
      <c r="H81" s="4">
        <f t="shared" si="19"/>
        <v>0</v>
      </c>
      <c r="I81" s="4">
        <f>+'202501anual'!E156</f>
        <v>0</v>
      </c>
      <c r="J81" s="4"/>
      <c r="K81" s="4">
        <f t="shared" si="28"/>
        <v>0</v>
      </c>
      <c r="L81" s="4">
        <f>+'202501anual'!F156</f>
        <v>0</v>
      </c>
      <c r="M81" s="4">
        <v>0</v>
      </c>
      <c r="N81" s="4">
        <f t="shared" si="29"/>
        <v>0</v>
      </c>
      <c r="O81" s="4">
        <f>+'202501anual'!G156</f>
        <v>0</v>
      </c>
      <c r="P81" s="4">
        <v>0</v>
      </c>
      <c r="Q81" s="4">
        <f t="shared" si="30"/>
        <v>0</v>
      </c>
      <c r="R81" s="4">
        <f>+'202501anual'!H156</f>
        <v>0</v>
      </c>
      <c r="S81" s="4"/>
      <c r="T81" s="4">
        <f t="shared" si="31"/>
        <v>0</v>
      </c>
      <c r="U81" s="4"/>
      <c r="V81" s="4"/>
      <c r="W81" s="4"/>
      <c r="X81" s="4"/>
      <c r="Y81" s="4"/>
      <c r="Z81" s="4"/>
      <c r="AA81" s="4">
        <f t="shared" si="32"/>
        <v>0</v>
      </c>
      <c r="AB81" s="4">
        <f t="shared" si="32"/>
        <v>0</v>
      </c>
      <c r="AC81" s="4">
        <f t="shared" si="33"/>
        <v>0</v>
      </c>
      <c r="AD81" s="43">
        <v>0</v>
      </c>
      <c r="AE81" s="34"/>
      <c r="AF81" s="38"/>
      <c r="AG81" s="38"/>
      <c r="AH81" s="2"/>
      <c r="AI81" s="2"/>
    </row>
    <row r="82" spans="1:38" hidden="1" x14ac:dyDescent="0.25">
      <c r="A82" s="5" t="s">
        <v>34</v>
      </c>
      <c r="B82" s="4"/>
      <c r="C82" s="4"/>
      <c r="D82" s="4"/>
      <c r="E82" s="4">
        <f t="shared" si="18"/>
        <v>0</v>
      </c>
      <c r="F82" s="4">
        <f>+'202501anual'!D157</f>
        <v>870000</v>
      </c>
      <c r="G82" s="4"/>
      <c r="H82" s="4">
        <f t="shared" si="19"/>
        <v>870000</v>
      </c>
      <c r="I82" s="4">
        <f>+'202501anual'!E157</f>
        <v>870000</v>
      </c>
      <c r="J82" s="4"/>
      <c r="K82" s="4">
        <f t="shared" si="28"/>
        <v>870000</v>
      </c>
      <c r="L82" s="4">
        <f>+'202501anual'!F157</f>
        <v>870000</v>
      </c>
      <c r="M82" s="4"/>
      <c r="N82" s="4">
        <f t="shared" si="29"/>
        <v>870000</v>
      </c>
      <c r="O82" s="4">
        <f>+'202501anual'!G157</f>
        <v>870000</v>
      </c>
      <c r="P82" s="4"/>
      <c r="Q82" s="4">
        <f t="shared" si="30"/>
        <v>870000</v>
      </c>
      <c r="R82" s="4">
        <f>+'202501anual'!H157</f>
        <v>870000</v>
      </c>
      <c r="S82" s="4"/>
      <c r="T82" s="4">
        <f t="shared" si="31"/>
        <v>870000</v>
      </c>
      <c r="U82" s="4"/>
      <c r="V82" s="4"/>
      <c r="W82" s="4"/>
      <c r="X82" s="4"/>
      <c r="Y82" s="4"/>
      <c r="Z82" s="4"/>
      <c r="AA82" s="4">
        <f t="shared" si="32"/>
        <v>4350000</v>
      </c>
      <c r="AB82" s="4">
        <f t="shared" si="32"/>
        <v>0</v>
      </c>
      <c r="AC82" s="4">
        <f t="shared" si="33"/>
        <v>4350000</v>
      </c>
      <c r="AD82" s="43">
        <f t="shared" si="34"/>
        <v>100</v>
      </c>
      <c r="AE82" s="34"/>
      <c r="AF82" s="38"/>
      <c r="AG82" s="38"/>
      <c r="AH82" s="2"/>
      <c r="AI82" s="2"/>
    </row>
    <row r="83" spans="1:38" x14ac:dyDescent="0.25">
      <c r="A83" s="5" t="s">
        <v>83</v>
      </c>
      <c r="B83" s="4">
        <v>26000000</v>
      </c>
      <c r="C83" s="4">
        <v>2000000</v>
      </c>
      <c r="D83" s="4">
        <v>0</v>
      </c>
      <c r="E83" s="4">
        <f t="shared" si="18"/>
        <v>2000000</v>
      </c>
      <c r="F83" s="4">
        <f>+'202501anual'!D158</f>
        <v>100000</v>
      </c>
      <c r="G83" s="4"/>
      <c r="H83" s="4">
        <f t="shared" si="19"/>
        <v>100000</v>
      </c>
      <c r="I83" s="4">
        <f>+'202501anual'!E158</f>
        <v>100000</v>
      </c>
      <c r="J83" s="4"/>
      <c r="K83" s="4">
        <f t="shared" si="28"/>
        <v>100000</v>
      </c>
      <c r="L83" s="4">
        <f>+'202501anual'!F158</f>
        <v>100000</v>
      </c>
      <c r="M83" s="4">
        <v>0</v>
      </c>
      <c r="N83" s="4">
        <f t="shared" si="29"/>
        <v>100000</v>
      </c>
      <c r="O83" s="4">
        <f>+'202501anual'!G158</f>
        <v>100000</v>
      </c>
      <c r="P83" s="4">
        <v>0</v>
      </c>
      <c r="Q83" s="4">
        <f t="shared" si="30"/>
        <v>100000</v>
      </c>
      <c r="R83" s="4">
        <f>+'202501anual'!H158</f>
        <v>100000</v>
      </c>
      <c r="S83" s="4"/>
      <c r="T83" s="4">
        <f t="shared" si="31"/>
        <v>100000</v>
      </c>
      <c r="U83" s="4"/>
      <c r="V83" s="4"/>
      <c r="W83" s="4"/>
      <c r="X83" s="4"/>
      <c r="Y83" s="4"/>
      <c r="Z83" s="4"/>
      <c r="AA83" s="4">
        <f t="shared" si="32"/>
        <v>2500000</v>
      </c>
      <c r="AB83" s="4">
        <f t="shared" si="32"/>
        <v>0</v>
      </c>
      <c r="AC83" s="4">
        <f t="shared" si="33"/>
        <v>2500000</v>
      </c>
      <c r="AD83" s="43">
        <f t="shared" si="34"/>
        <v>100</v>
      </c>
      <c r="AE83" s="34"/>
      <c r="AF83" s="38"/>
      <c r="AG83" s="38"/>
      <c r="AH83" s="2"/>
      <c r="AI83" s="2"/>
    </row>
    <row r="84" spans="1:38" hidden="1" x14ac:dyDescent="0.25">
      <c r="A84" s="5" t="s">
        <v>56</v>
      </c>
      <c r="B84" s="4"/>
      <c r="C84" s="4"/>
      <c r="D84" s="4"/>
      <c r="E84" s="4">
        <f t="shared" si="18"/>
        <v>0</v>
      </c>
      <c r="F84" s="4">
        <f>+'202501anual'!D159</f>
        <v>2500000</v>
      </c>
      <c r="G84" s="4"/>
      <c r="H84" s="4">
        <f t="shared" si="19"/>
        <v>2500000</v>
      </c>
      <c r="I84" s="4">
        <f>+'202501anual'!E159</f>
        <v>2500000</v>
      </c>
      <c r="J84" s="4"/>
      <c r="K84" s="4">
        <f t="shared" si="28"/>
        <v>2500000</v>
      </c>
      <c r="L84" s="4">
        <f>+'202501anual'!F159</f>
        <v>2500000</v>
      </c>
      <c r="M84" s="4"/>
      <c r="N84" s="4">
        <f t="shared" si="29"/>
        <v>2500000</v>
      </c>
      <c r="O84" s="4">
        <f>+'202501anual'!G159</f>
        <v>2500000</v>
      </c>
      <c r="P84" s="4"/>
      <c r="Q84" s="4">
        <f t="shared" si="30"/>
        <v>2500000</v>
      </c>
      <c r="R84" s="4">
        <f>+'202501anual'!H159</f>
        <v>2500000</v>
      </c>
      <c r="S84" s="4"/>
      <c r="T84" s="4">
        <f t="shared" si="31"/>
        <v>2500000</v>
      </c>
      <c r="U84" s="4"/>
      <c r="V84" s="4"/>
      <c r="W84" s="4"/>
      <c r="X84" s="4"/>
      <c r="Y84" s="4"/>
      <c r="Z84" s="4"/>
      <c r="AA84" s="4">
        <f t="shared" si="32"/>
        <v>12500000</v>
      </c>
      <c r="AB84" s="4">
        <f t="shared" si="32"/>
        <v>0</v>
      </c>
      <c r="AC84" s="4">
        <f t="shared" si="33"/>
        <v>12500000</v>
      </c>
      <c r="AD84" s="43">
        <f t="shared" si="34"/>
        <v>100</v>
      </c>
      <c r="AE84" s="34"/>
      <c r="AF84" s="38"/>
      <c r="AG84" s="38"/>
      <c r="AH84" s="2"/>
      <c r="AI84" s="2"/>
    </row>
    <row r="85" spans="1:38" x14ac:dyDescent="0.25">
      <c r="A85" s="5" t="s">
        <v>38</v>
      </c>
      <c r="B85" s="4">
        <v>25200000</v>
      </c>
      <c r="C85" s="4">
        <v>2100000</v>
      </c>
      <c r="D85" s="4">
        <v>2320000</v>
      </c>
      <c r="E85" s="4">
        <f t="shared" si="18"/>
        <v>-220000</v>
      </c>
      <c r="F85" s="4">
        <f>+'202501anual'!D160</f>
        <v>2992500</v>
      </c>
      <c r="G85" s="4">
        <v>3230000</v>
      </c>
      <c r="H85" s="4">
        <f t="shared" si="19"/>
        <v>-237500</v>
      </c>
      <c r="I85" s="4">
        <f>+'202501anual'!E160</f>
        <v>2992500</v>
      </c>
      <c r="J85" s="4">
        <v>2320000</v>
      </c>
      <c r="K85" s="4">
        <f t="shared" si="28"/>
        <v>672500</v>
      </c>
      <c r="L85" s="4">
        <f>+'202501anual'!F160</f>
        <v>2992500</v>
      </c>
      <c r="M85" s="4">
        <v>2320000</v>
      </c>
      <c r="N85" s="4">
        <f t="shared" si="29"/>
        <v>672500</v>
      </c>
      <c r="O85" s="4">
        <f>+'202501anual'!G160</f>
        <v>2992500</v>
      </c>
      <c r="P85" s="4">
        <v>2320000</v>
      </c>
      <c r="Q85" s="4">
        <f t="shared" si="30"/>
        <v>672500</v>
      </c>
      <c r="R85" s="4">
        <f>+'202501anual'!H160</f>
        <v>2992500</v>
      </c>
      <c r="S85" s="4"/>
      <c r="T85" s="4">
        <f t="shared" si="31"/>
        <v>2992500</v>
      </c>
      <c r="U85" s="4"/>
      <c r="V85" s="4"/>
      <c r="W85" s="4"/>
      <c r="X85" s="4"/>
      <c r="Y85" s="4"/>
      <c r="Z85" s="4"/>
      <c r="AA85" s="4">
        <f t="shared" si="32"/>
        <v>17062500</v>
      </c>
      <c r="AB85" s="4">
        <f t="shared" si="32"/>
        <v>12510000</v>
      </c>
      <c r="AC85" s="4">
        <f t="shared" si="33"/>
        <v>4552500</v>
      </c>
      <c r="AD85" s="43">
        <f t="shared" si="34"/>
        <v>26.681318681318682</v>
      </c>
      <c r="AE85" s="34"/>
      <c r="AF85" s="38"/>
      <c r="AG85" s="38"/>
      <c r="AH85" s="2"/>
      <c r="AI85" s="2"/>
    </row>
    <row r="86" spans="1:38" x14ac:dyDescent="0.25">
      <c r="A86" s="5" t="s">
        <v>39</v>
      </c>
      <c r="B86" s="4">
        <v>709140000</v>
      </c>
      <c r="C86" s="4">
        <v>59095000</v>
      </c>
      <c r="D86" s="4">
        <v>53576000</v>
      </c>
      <c r="E86" s="4">
        <f t="shared" si="18"/>
        <v>5519000</v>
      </c>
      <c r="F86" s="4">
        <f>+'202501anual'!D161</f>
        <v>17248171.199999999</v>
      </c>
      <c r="G86" s="4">
        <v>53576000</v>
      </c>
      <c r="H86" s="4">
        <f t="shared" si="19"/>
        <v>-36327828.799999997</v>
      </c>
      <c r="I86" s="4">
        <f>+'202501anual'!E161</f>
        <v>17248171.199999999</v>
      </c>
      <c r="J86" s="4">
        <v>53576000</v>
      </c>
      <c r="K86" s="4">
        <f t="shared" si="28"/>
        <v>-36327828.799999997</v>
      </c>
      <c r="L86" s="4">
        <f>+'202501anual'!F161</f>
        <v>17248171.199999999</v>
      </c>
      <c r="M86" s="4">
        <v>53576000</v>
      </c>
      <c r="N86" s="4">
        <f t="shared" si="29"/>
        <v>-36327828.799999997</v>
      </c>
      <c r="O86" s="4">
        <f>+'202501anual'!G161</f>
        <v>17248171.199999999</v>
      </c>
      <c r="P86" s="4">
        <v>53576000</v>
      </c>
      <c r="Q86" s="4">
        <f t="shared" si="30"/>
        <v>-36327828.799999997</v>
      </c>
      <c r="R86" s="4">
        <f>+'202501anual'!H161</f>
        <v>17248171.199999999</v>
      </c>
      <c r="S86" s="4"/>
      <c r="T86" s="4">
        <f t="shared" si="31"/>
        <v>17248171.199999999</v>
      </c>
      <c r="U86" s="4"/>
      <c r="V86" s="4"/>
      <c r="W86" s="4"/>
      <c r="X86" s="4"/>
      <c r="Y86" s="4"/>
      <c r="Z86" s="4"/>
      <c r="AA86" s="4">
        <f t="shared" si="32"/>
        <v>145335856</v>
      </c>
      <c r="AB86" s="4">
        <f t="shared" si="32"/>
        <v>267880000</v>
      </c>
      <c r="AC86" s="4">
        <f t="shared" si="33"/>
        <v>-122544144</v>
      </c>
      <c r="AD86" s="43">
        <f t="shared" si="34"/>
        <v>-84.317901564497618</v>
      </c>
      <c r="AE86" s="34"/>
      <c r="AF86" s="38"/>
      <c r="AG86" s="38"/>
      <c r="AH86" s="2"/>
      <c r="AI86" s="2"/>
    </row>
    <row r="87" spans="1:38" x14ac:dyDescent="0.25">
      <c r="A87" s="12" t="s">
        <v>53</v>
      </c>
      <c r="B87" s="8">
        <f>SUM(B35:B86)</f>
        <v>2441516142</v>
      </c>
      <c r="C87" s="8">
        <f t="shared" ref="C87:AC87" si="35">SUM(C35:C86)</f>
        <v>179785359.61327934</v>
      </c>
      <c r="D87" s="8">
        <f t="shared" si="35"/>
        <v>131905273</v>
      </c>
      <c r="E87" s="8">
        <f t="shared" si="35"/>
        <v>47880086.61327935</v>
      </c>
      <c r="F87" s="8" t="e">
        <f t="shared" si="35"/>
        <v>#REF!</v>
      </c>
      <c r="G87" s="8">
        <f t="shared" si="35"/>
        <v>144410432</v>
      </c>
      <c r="H87" s="8" t="e">
        <f t="shared" si="35"/>
        <v>#REF!</v>
      </c>
      <c r="I87" s="8" t="e">
        <f t="shared" si="35"/>
        <v>#REF!</v>
      </c>
      <c r="J87" s="8">
        <f t="shared" si="35"/>
        <v>155506366.09</v>
      </c>
      <c r="K87" s="8" t="e">
        <f t="shared" si="35"/>
        <v>#REF!</v>
      </c>
      <c r="L87" s="8" t="e">
        <f t="shared" si="35"/>
        <v>#REF!</v>
      </c>
      <c r="M87" s="8">
        <f t="shared" si="35"/>
        <v>158068177.80000001</v>
      </c>
      <c r="N87" s="8" t="e">
        <f t="shared" si="35"/>
        <v>#REF!</v>
      </c>
      <c r="O87" s="8" t="e">
        <f t="shared" si="35"/>
        <v>#REF!</v>
      </c>
      <c r="P87" s="8">
        <f t="shared" si="35"/>
        <v>165802071.647838</v>
      </c>
      <c r="Q87" s="8" t="e">
        <f t="shared" si="35"/>
        <v>#REF!</v>
      </c>
      <c r="R87" s="8" t="e">
        <f t="shared" si="35"/>
        <v>#REF!</v>
      </c>
      <c r="S87" s="8">
        <f t="shared" si="35"/>
        <v>0</v>
      </c>
      <c r="T87" s="8" t="e">
        <f t="shared" si="35"/>
        <v>#REF!</v>
      </c>
      <c r="U87" s="8">
        <f t="shared" si="35"/>
        <v>0</v>
      </c>
      <c r="V87" s="8">
        <f t="shared" si="35"/>
        <v>0</v>
      </c>
      <c r="W87" s="8">
        <f t="shared" si="35"/>
        <v>0</v>
      </c>
      <c r="X87" s="8">
        <f t="shared" si="35"/>
        <v>0</v>
      </c>
      <c r="Y87" s="8">
        <f t="shared" si="35"/>
        <v>0</v>
      </c>
      <c r="Z87" s="8">
        <f t="shared" si="35"/>
        <v>0</v>
      </c>
      <c r="AA87" s="8" t="e">
        <f t="shared" si="35"/>
        <v>#REF!</v>
      </c>
      <c r="AB87" s="8">
        <f t="shared" si="35"/>
        <v>755692320.53783798</v>
      </c>
      <c r="AC87" s="8" t="e">
        <f t="shared" si="35"/>
        <v>#REF!</v>
      </c>
      <c r="AD87" s="31" t="e">
        <f>+AC87/AA87</f>
        <v>#REF!</v>
      </c>
      <c r="AE87" s="34" t="e">
        <f>+H87/F87</f>
        <v>#REF!</v>
      </c>
      <c r="AF87" s="39"/>
      <c r="AG87" s="39"/>
      <c r="AH87" s="2"/>
      <c r="AI87" s="2"/>
      <c r="AK87" s="2"/>
    </row>
    <row r="88" spans="1:38" s="1" customFormat="1" x14ac:dyDescent="0.25">
      <c r="A88" s="12" t="s">
        <v>62</v>
      </c>
      <c r="B88" s="15">
        <f>+B87+B34+B24</f>
        <v>13708301636</v>
      </c>
      <c r="C88" s="15">
        <f>+C87+C34+C24</f>
        <v>1232636553.2146487</v>
      </c>
      <c r="D88" s="15">
        <f t="shared" ref="D88:AC88" si="36">+D87+D34+D24</f>
        <v>334717391.36000001</v>
      </c>
      <c r="E88" s="15">
        <f t="shared" si="36"/>
        <v>897919161.85464871</v>
      </c>
      <c r="F88" s="15" t="e">
        <f t="shared" si="36"/>
        <v>#REF!</v>
      </c>
      <c r="G88" s="15">
        <f t="shared" si="36"/>
        <v>502692578.63999999</v>
      </c>
      <c r="H88" s="15" t="e">
        <f t="shared" si="36"/>
        <v>#REF!</v>
      </c>
      <c r="I88" s="15" t="e">
        <f t="shared" si="36"/>
        <v>#REF!</v>
      </c>
      <c r="J88" s="15" t="e">
        <f t="shared" si="36"/>
        <v>#REF!</v>
      </c>
      <c r="K88" s="15" t="e">
        <f t="shared" si="36"/>
        <v>#REF!</v>
      </c>
      <c r="L88" s="15" t="e">
        <f t="shared" si="36"/>
        <v>#REF!</v>
      </c>
      <c r="M88" s="15" t="e">
        <f t="shared" si="36"/>
        <v>#REF!</v>
      </c>
      <c r="N88" s="15" t="e">
        <f t="shared" si="36"/>
        <v>#REF!</v>
      </c>
      <c r="O88" s="15" t="e">
        <f t="shared" si="36"/>
        <v>#REF!</v>
      </c>
      <c r="P88" s="15" t="e">
        <f t="shared" si="36"/>
        <v>#REF!</v>
      </c>
      <c r="Q88" s="15" t="e">
        <f t="shared" si="36"/>
        <v>#REF!</v>
      </c>
      <c r="R88" s="15" t="e">
        <f t="shared" si="36"/>
        <v>#REF!</v>
      </c>
      <c r="S88" s="15" t="e">
        <f t="shared" si="36"/>
        <v>#REF!</v>
      </c>
      <c r="T88" s="15" t="e">
        <f t="shared" si="36"/>
        <v>#REF!</v>
      </c>
      <c r="U88" s="15">
        <f t="shared" si="36"/>
        <v>0</v>
      </c>
      <c r="V88" s="15">
        <f t="shared" si="36"/>
        <v>0</v>
      </c>
      <c r="W88" s="15">
        <f t="shared" si="36"/>
        <v>0</v>
      </c>
      <c r="X88" s="15">
        <f t="shared" si="36"/>
        <v>0</v>
      </c>
      <c r="Y88" s="15">
        <f t="shared" si="36"/>
        <v>0</v>
      </c>
      <c r="Z88" s="15">
        <f t="shared" si="36"/>
        <v>0</v>
      </c>
      <c r="AA88" s="15" t="e">
        <f>+AA87+AA34+AA24</f>
        <v>#REF!</v>
      </c>
      <c r="AB88" s="15" t="e">
        <f t="shared" si="36"/>
        <v>#VALUE!</v>
      </c>
      <c r="AC88" s="15" t="e">
        <f t="shared" si="36"/>
        <v>#REF!</v>
      </c>
      <c r="AD88" s="31" t="e">
        <f>+AC88/AA88</f>
        <v>#REF!</v>
      </c>
      <c r="AE88" s="34" t="e">
        <f>+H88/F88</f>
        <v>#REF!</v>
      </c>
      <c r="AF88" s="40" t="e">
        <f>+Q87/O87*100</f>
        <v>#REF!</v>
      </c>
      <c r="AG88" s="40"/>
      <c r="AH88" s="2"/>
      <c r="AI88" s="2"/>
    </row>
    <row r="89" spans="1:38" ht="19.5" thickBot="1" x14ac:dyDescent="0.3">
      <c r="A89" s="13" t="s">
        <v>0</v>
      </c>
      <c r="B89" s="9">
        <f>+B12-B88</f>
        <v>-9274299629.9527454</v>
      </c>
      <c r="C89" s="9">
        <f>+C12-C88</f>
        <v>-851644203.21464872</v>
      </c>
      <c r="D89" s="9">
        <f t="shared" ref="D89:AC89" si="37">+D12-D88</f>
        <v>-299698994.05000001</v>
      </c>
      <c r="E89" s="9">
        <f t="shared" si="37"/>
        <v>-551945209.16464877</v>
      </c>
      <c r="F89" s="9" t="e">
        <f t="shared" si="37"/>
        <v>#REF!</v>
      </c>
      <c r="G89" s="9">
        <f t="shared" si="37"/>
        <v>-468930778.63999999</v>
      </c>
      <c r="H89" s="9" t="e">
        <f t="shared" si="37"/>
        <v>#REF!</v>
      </c>
      <c r="I89" s="9" t="e">
        <f t="shared" si="37"/>
        <v>#REF!</v>
      </c>
      <c r="J89" s="9" t="e">
        <f t="shared" si="37"/>
        <v>#REF!</v>
      </c>
      <c r="K89" s="9" t="e">
        <f t="shared" si="37"/>
        <v>#REF!</v>
      </c>
      <c r="L89" s="9" t="e">
        <f t="shared" si="37"/>
        <v>#REF!</v>
      </c>
      <c r="M89" s="9" t="e">
        <f t="shared" si="37"/>
        <v>#REF!</v>
      </c>
      <c r="N89" s="9" t="e">
        <f t="shared" si="37"/>
        <v>#REF!</v>
      </c>
      <c r="O89" s="9" t="e">
        <f t="shared" si="37"/>
        <v>#REF!</v>
      </c>
      <c r="P89" s="9" t="e">
        <f t="shared" si="37"/>
        <v>#REF!</v>
      </c>
      <c r="Q89" s="9" t="e">
        <f t="shared" si="37"/>
        <v>#REF!</v>
      </c>
      <c r="R89" s="9" t="e">
        <f t="shared" si="37"/>
        <v>#REF!</v>
      </c>
      <c r="S89" s="9" t="e">
        <f t="shared" si="37"/>
        <v>#REF!</v>
      </c>
      <c r="T89" s="9" t="e">
        <f t="shared" si="37"/>
        <v>#REF!</v>
      </c>
      <c r="U89" s="9">
        <f t="shared" si="37"/>
        <v>0</v>
      </c>
      <c r="V89" s="9">
        <f t="shared" si="37"/>
        <v>0</v>
      </c>
      <c r="W89" s="9">
        <f t="shared" si="37"/>
        <v>0</v>
      </c>
      <c r="X89" s="9">
        <f t="shared" si="37"/>
        <v>0</v>
      </c>
      <c r="Y89" s="9">
        <f t="shared" si="37"/>
        <v>0</v>
      </c>
      <c r="Z89" s="9">
        <f t="shared" si="37"/>
        <v>0</v>
      </c>
      <c r="AA89" s="9" t="e">
        <f t="shared" si="37"/>
        <v>#REF!</v>
      </c>
      <c r="AB89" s="9" t="e">
        <f t="shared" si="37"/>
        <v>#VALUE!</v>
      </c>
      <c r="AC89" s="9" t="e">
        <f t="shared" si="37"/>
        <v>#REF!</v>
      </c>
      <c r="AD89" s="32" t="e">
        <f>+AC89/AA89</f>
        <v>#REF!</v>
      </c>
      <c r="AE89" s="34" t="e">
        <f>+H89/F89</f>
        <v>#REF!</v>
      </c>
      <c r="AF89" s="41"/>
      <c r="AG89" s="41"/>
      <c r="AH89" s="2"/>
      <c r="AI89" s="2"/>
    </row>
    <row r="90" spans="1:38" x14ac:dyDescent="0.25">
      <c r="D90" s="2"/>
      <c r="G90" s="40"/>
      <c r="H90" s="40"/>
      <c r="I90" s="2"/>
      <c r="J90" s="2"/>
      <c r="K90" s="2"/>
      <c r="R90" s="2">
        <f>+'202501anual'!H164-9590000000</f>
        <v>-9029355251.6232872</v>
      </c>
      <c r="S90" s="2"/>
      <c r="T90" s="2"/>
      <c r="V90" s="2"/>
      <c r="W90" s="2"/>
      <c r="X90" s="2"/>
      <c r="Y90" s="2"/>
      <c r="AI90" s="2"/>
    </row>
    <row r="91" spans="1:38" x14ac:dyDescent="0.25">
      <c r="G91" s="35"/>
      <c r="H91" s="35"/>
      <c r="I91" s="2" t="s">
        <v>59</v>
      </c>
      <c r="J91" s="2"/>
      <c r="K91" s="2"/>
      <c r="P91" s="24" t="e">
        <f>+P88/O88*100</f>
        <v>#REF!</v>
      </c>
      <c r="R91" s="2"/>
      <c r="S91" s="2"/>
      <c r="T91" s="2"/>
      <c r="V91" s="2"/>
      <c r="AB91" s="2" t="e">
        <f>+D89+G89+J89+M89+P89+S89</f>
        <v>#REF!</v>
      </c>
      <c r="AC91" s="2"/>
      <c r="AF91" s="2"/>
      <c r="AI91" s="2" t="e">
        <f>+#REF!</f>
        <v>#REF!</v>
      </c>
      <c r="AJ91" s="20"/>
      <c r="AL91" s="2"/>
    </row>
    <row r="92" spans="1:38" x14ac:dyDescent="0.25">
      <c r="B92" s="2"/>
      <c r="I92" s="2"/>
      <c r="J92" s="2"/>
      <c r="K92" s="2"/>
      <c r="R92" s="2" t="e">
        <f>+C88+F88+I88+L88+O88+R88</f>
        <v>#REF!</v>
      </c>
      <c r="S92" s="2"/>
      <c r="T92" s="2"/>
      <c r="V92" s="2"/>
      <c r="AB92" s="2" t="e">
        <f>+C88+F88+I88+L88+O88+R88</f>
        <v>#REF!</v>
      </c>
      <c r="AI92" s="2">
        <f>815000000*1.07</f>
        <v>872050000</v>
      </c>
      <c r="AJ92" s="20"/>
      <c r="AL92" s="2"/>
    </row>
    <row r="93" spans="1:38" x14ac:dyDescent="0.25">
      <c r="B93" s="2"/>
      <c r="V93" s="2"/>
      <c r="AB93" s="2" t="e">
        <f>+E89+H89+K89+N89+Q89+S89</f>
        <v>#REF!</v>
      </c>
      <c r="AC93" s="3"/>
      <c r="AF93" s="2"/>
      <c r="AI93" s="2">
        <v>-1173139539</v>
      </c>
      <c r="AJ93" s="20"/>
    </row>
    <row r="94" spans="1:38" x14ac:dyDescent="0.25">
      <c r="V94" s="2"/>
      <c r="AC94" s="2"/>
      <c r="AI94" s="2">
        <v>-272818809</v>
      </c>
      <c r="AJ94" s="20">
        <v>371527244</v>
      </c>
      <c r="AK94" s="2">
        <f>+AJ94+AI94</f>
        <v>98708435</v>
      </c>
    </row>
    <row r="95" spans="1:38" x14ac:dyDescent="0.25">
      <c r="B95" s="2"/>
      <c r="V95" s="2"/>
      <c r="AC95" s="2"/>
      <c r="AI95" s="2">
        <f>-(2000000-1920114)*12</f>
        <v>-958632</v>
      </c>
      <c r="AJ95" s="2"/>
    </row>
    <row r="96" spans="1:38" x14ac:dyDescent="0.25">
      <c r="D96" s="2"/>
      <c r="E96" s="2"/>
      <c r="V96" s="2"/>
      <c r="AA96" s="2"/>
      <c r="AB96" s="2"/>
      <c r="AC96" s="3"/>
      <c r="AI96" s="2">
        <v>-49700000</v>
      </c>
      <c r="AJ96" s="2"/>
    </row>
    <row r="97" spans="3:35" x14ac:dyDescent="0.25">
      <c r="C97" s="3"/>
      <c r="D97" s="3"/>
      <c r="E97" s="42"/>
      <c r="AB97" s="2"/>
      <c r="AC97" s="24"/>
      <c r="AI97" s="2" t="e">
        <f>-AC33</f>
        <v>#REF!</v>
      </c>
    </row>
    <row r="98" spans="3:35" x14ac:dyDescent="0.25">
      <c r="D98" s="2"/>
      <c r="AB98" s="2"/>
      <c r="AI98" s="2">
        <f>-AC81</f>
        <v>0</v>
      </c>
    </row>
    <row r="99" spans="3:35" x14ac:dyDescent="0.25">
      <c r="AI99" s="2">
        <f>+AH23</f>
        <v>0</v>
      </c>
    </row>
    <row r="100" spans="3:35" x14ac:dyDescent="0.25">
      <c r="D100" s="2"/>
      <c r="AI100" s="2" t="e">
        <f>SUM(AI91:AI99)</f>
        <v>#REF!</v>
      </c>
    </row>
    <row r="101" spans="3:35" x14ac:dyDescent="0.25">
      <c r="AB101" s="2"/>
      <c r="AI101" s="2" t="e">
        <f>+AI100-AC89</f>
        <v>#REF!</v>
      </c>
    </row>
    <row r="104" spans="3:35" x14ac:dyDescent="0.25">
      <c r="P104" s="2"/>
    </row>
  </sheetData>
  <autoFilter ref="A5:AD89" xr:uid="{4C861BE8-7E5D-4966-A65F-7599F5FEBCAA}"/>
  <mergeCells count="9">
    <mergeCell ref="A1:C1"/>
    <mergeCell ref="A3:AD3"/>
    <mergeCell ref="C4:E4"/>
    <mergeCell ref="F4:H4"/>
    <mergeCell ref="I4:K4"/>
    <mergeCell ref="L4:N4"/>
    <mergeCell ref="O4:Q4"/>
    <mergeCell ref="R4:T4"/>
    <mergeCell ref="AA4:AD4"/>
  </mergeCells>
  <pageMargins left="0.39370078740157483" right="0.39370078740157483" top="0.19685039370078741" bottom="0.3937007874015748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F7BA-7178-4E52-A3DE-25B29DEDE3B6}">
  <dimension ref="A1:Z195"/>
  <sheetViews>
    <sheetView showGridLines="0" zoomScale="86" zoomScaleNormal="86" workbookViewId="0">
      <pane xSplit="2" ySplit="5" topLeftCell="H104" activePane="bottomRight" state="frozen"/>
      <selection activeCell="F87" sqref="F87"/>
      <selection pane="topRight" activeCell="F87" sqref="F87"/>
      <selection pane="bottomLeft" activeCell="F87" sqref="F87"/>
      <selection pane="bottomRight" activeCell="V104" sqref="V104"/>
    </sheetView>
  </sheetViews>
  <sheetFormatPr baseColWidth="10" defaultColWidth="11.42578125" defaultRowHeight="15" x14ac:dyDescent="0.25"/>
  <cols>
    <col min="1" max="1" width="58.85546875" customWidth="1"/>
    <col min="2" max="2" width="15.5703125" customWidth="1"/>
    <col min="3" max="3" width="15.5703125" hidden="1" customWidth="1"/>
    <col min="4" max="7" width="17.28515625" hidden="1" customWidth="1"/>
    <col min="8" max="9" width="17.28515625" customWidth="1"/>
    <col min="10" max="12" width="17.28515625" hidden="1" customWidth="1"/>
    <col min="13" max="14" width="16.7109375" hidden="1" customWidth="1"/>
    <col min="15" max="15" width="17.85546875" customWidth="1"/>
    <col min="16" max="16" width="19.7109375" hidden="1" customWidth="1"/>
    <col min="17" max="17" width="15.85546875" hidden="1" customWidth="1"/>
    <col min="18" max="18" width="18.42578125" hidden="1" customWidth="1"/>
    <col min="19" max="19" width="15.5703125" hidden="1" customWidth="1"/>
    <col min="20" max="20" width="17.28515625" hidden="1" customWidth="1"/>
    <col min="21" max="21" width="18.42578125" style="68" customWidth="1"/>
    <col min="22" max="22" width="16.28515625" bestFit="1" customWidth="1"/>
    <col min="23" max="24" width="15.5703125" customWidth="1"/>
    <col min="25" max="26" width="14" customWidth="1"/>
    <col min="27" max="27" width="11.42578125" customWidth="1"/>
  </cols>
  <sheetData>
    <row r="1" spans="1:21" x14ac:dyDescent="0.25">
      <c r="A1" s="189" t="s">
        <v>51</v>
      </c>
      <c r="B1" s="189"/>
      <c r="C1" s="189"/>
    </row>
    <row r="2" spans="1:21" x14ac:dyDescent="0.25">
      <c r="A2" s="14"/>
      <c r="B2" s="14"/>
      <c r="C2" s="14"/>
    </row>
    <row r="3" spans="1:21" x14ac:dyDescent="0.25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23"/>
      <c r="Q3" s="23"/>
      <c r="R3" s="23"/>
    </row>
    <row r="4" spans="1:21" ht="15.75" thickBot="1" x14ac:dyDescent="0.3">
      <c r="A4" s="23"/>
      <c r="B4" s="23"/>
      <c r="C4" s="25"/>
      <c r="D4" s="25"/>
      <c r="E4" s="23"/>
      <c r="F4" s="23"/>
      <c r="G4" s="23"/>
      <c r="H4" s="23"/>
      <c r="I4" s="23"/>
      <c r="J4" s="23"/>
      <c r="K4" s="23"/>
      <c r="L4" s="23"/>
      <c r="M4" s="23"/>
      <c r="N4" s="23"/>
      <c r="O4" s="44"/>
      <c r="P4" s="23"/>
      <c r="Q4" s="23"/>
      <c r="R4" s="23"/>
    </row>
    <row r="5" spans="1:21" s="19" customFormat="1" ht="30" x14ac:dyDescent="0.25">
      <c r="A5" s="16" t="s">
        <v>50</v>
      </c>
      <c r="B5" s="17" t="s">
        <v>204</v>
      </c>
      <c r="C5" s="17" t="s">
        <v>40</v>
      </c>
      <c r="D5" s="17" t="s">
        <v>41</v>
      </c>
      <c r="E5" s="17" t="s">
        <v>42</v>
      </c>
      <c r="F5" s="17" t="s">
        <v>43</v>
      </c>
      <c r="G5" s="17" t="s">
        <v>44</v>
      </c>
      <c r="H5" s="17" t="s">
        <v>6</v>
      </c>
      <c r="I5" s="17" t="s">
        <v>5</v>
      </c>
      <c r="J5" s="17" t="s">
        <v>45</v>
      </c>
      <c r="K5" s="17" t="s">
        <v>46</v>
      </c>
      <c r="L5" s="17" t="s">
        <v>47</v>
      </c>
      <c r="M5" s="17" t="s">
        <v>4</v>
      </c>
      <c r="N5" s="17" t="s">
        <v>3</v>
      </c>
      <c r="O5" s="28" t="s">
        <v>102</v>
      </c>
      <c r="P5" s="33"/>
      <c r="Q5" s="33"/>
      <c r="R5" s="33"/>
      <c r="U5" s="69"/>
    </row>
    <row r="6" spans="1:21" x14ac:dyDescent="0.25">
      <c r="A6" s="5" t="s">
        <v>94</v>
      </c>
      <c r="B6" s="4">
        <f>+[7]Ppto!$G$5</f>
        <v>805104720</v>
      </c>
      <c r="C6" s="4">
        <v>24907259.578648102</v>
      </c>
      <c r="D6" s="4">
        <f>+[8]Ppto!$J$5</f>
        <v>67092060</v>
      </c>
      <c r="E6" s="4">
        <f>+[8]Ppto!$J$5</f>
        <v>67092060</v>
      </c>
      <c r="F6" s="115">
        <v>24907259.578648102</v>
      </c>
      <c r="G6" s="4">
        <f>+F6</f>
        <v>24907259.578648102</v>
      </c>
      <c r="H6" s="4">
        <v>24907259.578648102</v>
      </c>
      <c r="I6" s="4">
        <v>24907259.578648102</v>
      </c>
      <c r="J6" s="4">
        <v>24907259.578648102</v>
      </c>
      <c r="K6" s="4">
        <v>24907259.578648102</v>
      </c>
      <c r="L6" s="4">
        <v>24907259.578648102</v>
      </c>
      <c r="M6" s="4">
        <v>24907259.578648102</v>
      </c>
      <c r="N6" s="4">
        <v>24907259.578648102</v>
      </c>
      <c r="O6" s="4">
        <f t="shared" ref="O6:O14" si="0">SUM(C6:N6)</f>
        <v>383256715.7864809</v>
      </c>
      <c r="P6" s="34"/>
      <c r="Q6" s="40"/>
      <c r="R6" s="34"/>
      <c r="S6" s="2"/>
      <c r="T6" s="2"/>
    </row>
    <row r="7" spans="1:21" x14ac:dyDescent="0.25">
      <c r="A7" s="5" t="s">
        <v>95</v>
      </c>
      <c r="B7" s="4">
        <v>0</v>
      </c>
      <c r="C7" s="4">
        <v>73174394.085000008</v>
      </c>
      <c r="D7" s="4">
        <v>0</v>
      </c>
      <c r="E7" s="4">
        <v>0</v>
      </c>
      <c r="F7" s="115">
        <v>73174394.085000008</v>
      </c>
      <c r="G7" s="4">
        <f t="shared" ref="G7:G14" si="1">+F7</f>
        <v>73174394.085000008</v>
      </c>
      <c r="H7" s="4">
        <v>73174394.085000008</v>
      </c>
      <c r="I7" s="4">
        <v>73174394.085000008</v>
      </c>
      <c r="J7" s="4">
        <v>73174394.085000008</v>
      </c>
      <c r="K7" s="4">
        <v>73174394.085000008</v>
      </c>
      <c r="L7" s="4">
        <v>73174394.085000008</v>
      </c>
      <c r="M7" s="4">
        <v>73174394.085000008</v>
      </c>
      <c r="N7" s="4">
        <v>73174394.085000008</v>
      </c>
      <c r="O7" s="4">
        <f t="shared" si="0"/>
        <v>731743940.85000026</v>
      </c>
      <c r="P7" s="34"/>
      <c r="Q7" s="40"/>
      <c r="R7" s="35"/>
      <c r="S7" s="2"/>
      <c r="T7" s="2"/>
    </row>
    <row r="8" spans="1:21" x14ac:dyDescent="0.25">
      <c r="A8" s="5" t="s">
        <v>121</v>
      </c>
      <c r="B8" s="4">
        <v>0</v>
      </c>
      <c r="C8" s="4">
        <v>1590000</v>
      </c>
      <c r="D8" s="4">
        <v>0</v>
      </c>
      <c r="E8" s="4">
        <v>0</v>
      </c>
      <c r="F8" s="4">
        <v>1590000</v>
      </c>
      <c r="G8" s="4">
        <f t="shared" si="1"/>
        <v>1590000</v>
      </c>
      <c r="H8" s="4">
        <v>1590000</v>
      </c>
      <c r="I8" s="4">
        <v>1590000</v>
      </c>
      <c r="J8" s="4">
        <v>1590000</v>
      </c>
      <c r="K8" s="4">
        <v>1590000</v>
      </c>
      <c r="L8" s="4">
        <v>1590000</v>
      </c>
      <c r="M8" s="4">
        <v>1590000</v>
      </c>
      <c r="N8" s="4">
        <v>1590000</v>
      </c>
      <c r="O8" s="4">
        <f t="shared" si="0"/>
        <v>15900000</v>
      </c>
      <c r="P8" s="34"/>
      <c r="Q8" s="40"/>
      <c r="R8" s="34"/>
      <c r="S8" s="2"/>
      <c r="T8" s="2"/>
    </row>
    <row r="9" spans="1:21" x14ac:dyDescent="0.25">
      <c r="A9" s="5" t="s">
        <v>122</v>
      </c>
      <c r="B9" s="4">
        <v>0</v>
      </c>
      <c r="C9" s="4">
        <v>1000000</v>
      </c>
      <c r="D9" s="4">
        <v>0</v>
      </c>
      <c r="E9" s="4">
        <v>0</v>
      </c>
      <c r="F9" s="4">
        <v>1000000</v>
      </c>
      <c r="G9" s="4">
        <f t="shared" si="1"/>
        <v>1000000</v>
      </c>
      <c r="H9" s="4">
        <v>1000000</v>
      </c>
      <c r="I9" s="4">
        <v>1000000</v>
      </c>
      <c r="J9" s="4">
        <v>1000000</v>
      </c>
      <c r="K9" s="4">
        <v>1000000</v>
      </c>
      <c r="L9" s="4">
        <v>1000000</v>
      </c>
      <c r="M9" s="4">
        <v>1000000</v>
      </c>
      <c r="N9" s="4">
        <v>1000000</v>
      </c>
      <c r="O9" s="4">
        <f t="shared" si="0"/>
        <v>10000000</v>
      </c>
      <c r="P9" s="34"/>
      <c r="Q9" s="40"/>
      <c r="R9" s="34"/>
      <c r="S9" s="2"/>
      <c r="T9" s="2"/>
    </row>
    <row r="10" spans="1:21" x14ac:dyDescent="0.25">
      <c r="A10" s="5" t="s">
        <v>123</v>
      </c>
      <c r="B10" s="4">
        <f>+[7]Ppto!$G$6</f>
        <v>1445419200</v>
      </c>
      <c r="C10" s="4">
        <v>89250000</v>
      </c>
      <c r="D10" s="4">
        <f>+[8]Ppto!$J$6</f>
        <v>119170200</v>
      </c>
      <c r="E10" s="4">
        <f>+[8]Ppto!$J$6</f>
        <v>119170200</v>
      </c>
      <c r="F10" s="4">
        <v>89250000</v>
      </c>
      <c r="G10" s="4">
        <f t="shared" si="1"/>
        <v>89250000</v>
      </c>
      <c r="H10" s="4">
        <v>89250000</v>
      </c>
      <c r="I10" s="4">
        <v>89250000</v>
      </c>
      <c r="J10" s="4">
        <v>89250000</v>
      </c>
      <c r="K10" s="4">
        <v>89250000</v>
      </c>
      <c r="L10" s="4">
        <v>89250000</v>
      </c>
      <c r="M10" s="4">
        <v>89250000</v>
      </c>
      <c r="N10" s="4">
        <v>89250000</v>
      </c>
      <c r="O10" s="4">
        <f t="shared" si="0"/>
        <v>1130840400</v>
      </c>
      <c r="P10" s="34"/>
      <c r="Q10" s="40"/>
      <c r="R10" s="34"/>
      <c r="S10" s="2"/>
      <c r="T10" s="2"/>
    </row>
    <row r="11" spans="1:21" x14ac:dyDescent="0.25">
      <c r="A11" s="5" t="str">
        <f>+'[9]Planeación 2024 P&amp;K Hoja de W'!$C$10</f>
        <v>Cargo fijo alcantarillado</v>
      </c>
      <c r="B11" s="4">
        <v>0</v>
      </c>
      <c r="C11" s="4">
        <v>300526.70793269889</v>
      </c>
      <c r="D11" s="4">
        <f>+[8]Ppto!$J$7</f>
        <v>581250</v>
      </c>
      <c r="E11" s="4">
        <f>+[8]Ppto!$J$7</f>
        <v>581250</v>
      </c>
      <c r="F11" s="4">
        <v>300526.70793269889</v>
      </c>
      <c r="G11" s="4">
        <f t="shared" si="1"/>
        <v>300526.70793269889</v>
      </c>
      <c r="H11" s="4">
        <v>300526.70793269889</v>
      </c>
      <c r="I11" s="4">
        <v>300526.70793269889</v>
      </c>
      <c r="J11" s="4">
        <v>300526.70793269889</v>
      </c>
      <c r="K11" s="4">
        <v>300526.70793269889</v>
      </c>
      <c r="L11" s="4">
        <v>300526.70793269889</v>
      </c>
      <c r="M11" s="4">
        <v>300526.70793269889</v>
      </c>
      <c r="N11" s="4">
        <v>300526.70793269889</v>
      </c>
      <c r="O11" s="4">
        <f t="shared" si="0"/>
        <v>4167767.0793269901</v>
      </c>
      <c r="P11" s="34"/>
      <c r="Q11" s="40"/>
      <c r="R11" s="34"/>
      <c r="S11" s="2"/>
      <c r="T11" s="2"/>
    </row>
    <row r="12" spans="1:21" x14ac:dyDescent="0.25">
      <c r="A12" s="5" t="str">
        <f>+'[9]Planeación 2024 P&amp;K Hoja de W'!$C$11</f>
        <v>Cargo variable alcantarillado</v>
      </c>
      <c r="B12" s="4">
        <f>+[7]Ppto!$G$7</f>
        <v>6975000</v>
      </c>
      <c r="C12" s="4">
        <v>509060.85266484861</v>
      </c>
      <c r="D12" s="4">
        <v>0</v>
      </c>
      <c r="E12" s="4">
        <v>0</v>
      </c>
      <c r="F12" s="4">
        <v>509060.85266484861</v>
      </c>
      <c r="G12" s="4">
        <f t="shared" si="1"/>
        <v>509060.85266484861</v>
      </c>
      <c r="H12" s="4">
        <v>509060.85266484861</v>
      </c>
      <c r="I12" s="4">
        <v>509060.85266484861</v>
      </c>
      <c r="J12" s="4">
        <v>509060.85266484861</v>
      </c>
      <c r="K12" s="4">
        <v>509060.85266484861</v>
      </c>
      <c r="L12" s="4">
        <v>509060.85266484861</v>
      </c>
      <c r="M12" s="4">
        <v>509060.85266484861</v>
      </c>
      <c r="N12" s="4">
        <v>509060.85266484861</v>
      </c>
      <c r="O12" s="4">
        <f t="shared" si="0"/>
        <v>5090608.526648487</v>
      </c>
      <c r="P12" s="34"/>
      <c r="Q12" s="40"/>
      <c r="R12" s="34"/>
      <c r="S12" s="2"/>
      <c r="T12" s="2"/>
    </row>
    <row r="13" spans="1:21" x14ac:dyDescent="0.25">
      <c r="A13" s="5" t="s">
        <v>169</v>
      </c>
      <c r="B13" s="4">
        <f>+[7]Ppto!$G$8</f>
        <v>71800000</v>
      </c>
      <c r="C13" s="4">
        <v>2500000</v>
      </c>
      <c r="D13" s="4">
        <f>+[8]Ppto!$J$8</f>
        <v>3800000</v>
      </c>
      <c r="E13" s="4">
        <f>+[8]Ppto!$J$8</f>
        <v>3800000</v>
      </c>
      <c r="F13" s="4">
        <v>8000000</v>
      </c>
      <c r="G13" s="4">
        <f t="shared" si="1"/>
        <v>8000000</v>
      </c>
      <c r="H13" s="4">
        <v>8000000</v>
      </c>
      <c r="I13" s="4">
        <v>8000000</v>
      </c>
      <c r="J13" s="4">
        <v>8000000</v>
      </c>
      <c r="K13" s="4">
        <v>8000000</v>
      </c>
      <c r="L13" s="4">
        <v>8000000</v>
      </c>
      <c r="M13" s="4">
        <v>8000000</v>
      </c>
      <c r="N13" s="4">
        <v>8000000</v>
      </c>
      <c r="O13" s="4">
        <f t="shared" si="0"/>
        <v>82100000</v>
      </c>
      <c r="P13" s="34"/>
      <c r="Q13" s="40"/>
      <c r="R13" s="34"/>
      <c r="S13" s="2"/>
      <c r="T13" s="2"/>
    </row>
    <row r="14" spans="1:21" x14ac:dyDescent="0.25">
      <c r="A14" s="5" t="s">
        <v>124</v>
      </c>
      <c r="B14" s="4">
        <f>+[7]Ppto!$G$10</f>
        <v>4380665706.6356983</v>
      </c>
      <c r="C14" s="4"/>
      <c r="D14" s="4"/>
      <c r="E14" s="4">
        <v>0</v>
      </c>
      <c r="F14" s="4"/>
      <c r="G14" s="4">
        <f t="shared" si="1"/>
        <v>0</v>
      </c>
      <c r="H14" s="4"/>
      <c r="I14" s="4">
        <v>0</v>
      </c>
      <c r="J14" s="113">
        <v>1906279131.95</v>
      </c>
      <c r="K14" s="4">
        <v>0</v>
      </c>
      <c r="L14" s="4">
        <v>0</v>
      </c>
      <c r="M14" s="4">
        <v>0</v>
      </c>
      <c r="N14" s="4">
        <v>0</v>
      </c>
      <c r="O14" s="4">
        <f t="shared" si="0"/>
        <v>1906279131.95</v>
      </c>
      <c r="P14" s="34">
        <f>SUM(H6:N13)</f>
        <v>1391118688.5697205</v>
      </c>
      <c r="Q14" s="40"/>
      <c r="R14" s="34"/>
      <c r="S14" s="2"/>
      <c r="T14" s="2"/>
    </row>
    <row r="15" spans="1:21" ht="18.75" x14ac:dyDescent="0.3">
      <c r="A15" s="11" t="s">
        <v>2</v>
      </c>
      <c r="B15" s="7">
        <f t="shared" ref="B15:O15" si="2">SUM(B6:B14)</f>
        <v>6709964626.6356983</v>
      </c>
      <c r="C15" s="7">
        <f>SUM(C6:C14)</f>
        <v>193231241.2242457</v>
      </c>
      <c r="D15" s="7">
        <f t="shared" si="2"/>
        <v>190643510</v>
      </c>
      <c r="E15" s="7">
        <f>SUM(E6:E14)</f>
        <v>190643510</v>
      </c>
      <c r="F15" s="7">
        <f>SUM(F6:F14)</f>
        <v>198731241.2242457</v>
      </c>
      <c r="G15" s="7">
        <f>SUM(G6:G14)</f>
        <v>198731241.2242457</v>
      </c>
      <c r="H15" s="7">
        <f>SUM(H6:H14)</f>
        <v>198731241.2242457</v>
      </c>
      <c r="I15" s="7">
        <f t="shared" si="2"/>
        <v>198731241.2242457</v>
      </c>
      <c r="J15" s="7">
        <f t="shared" si="2"/>
        <v>2105010373.1742458</v>
      </c>
      <c r="K15" s="7">
        <f t="shared" si="2"/>
        <v>198731241.2242457</v>
      </c>
      <c r="L15" s="7">
        <f t="shared" si="2"/>
        <v>198731241.2242457</v>
      </c>
      <c r="M15" s="7">
        <f t="shared" si="2"/>
        <v>198731241.2242457</v>
      </c>
      <c r="N15" s="7">
        <f t="shared" si="2"/>
        <v>198731241.2242457</v>
      </c>
      <c r="O15" s="7">
        <f t="shared" si="2"/>
        <v>4269378564.1924572</v>
      </c>
      <c r="P15" s="34"/>
      <c r="Q15" s="40"/>
      <c r="R15" s="35"/>
      <c r="S15" s="2"/>
      <c r="T15" s="2"/>
    </row>
    <row r="16" spans="1:21" x14ac:dyDescent="0.25">
      <c r="A16" s="5" t="s">
        <v>36</v>
      </c>
      <c r="B16" s="4">
        <f>+[7]Ppto!$H$53</f>
        <v>967711968</v>
      </c>
      <c r="C16" s="4">
        <f>+B16/12</f>
        <v>80642664</v>
      </c>
      <c r="D16" s="4">
        <f>+C16</f>
        <v>80642664</v>
      </c>
      <c r="E16" s="84">
        <f>+D16</f>
        <v>80642664</v>
      </c>
      <c r="F16" s="118">
        <f t="shared" ref="F16:M16" si="3">+E16</f>
        <v>80642664</v>
      </c>
      <c r="G16" s="118">
        <f>+F16</f>
        <v>80642664</v>
      </c>
      <c r="H16" s="46">
        <f>+G16</f>
        <v>80642664</v>
      </c>
      <c r="I16" s="46">
        <f>+H16</f>
        <v>80642664</v>
      </c>
      <c r="J16" s="88">
        <f t="shared" si="3"/>
        <v>80642664</v>
      </c>
      <c r="K16" s="46">
        <f>+J16</f>
        <v>80642664</v>
      </c>
      <c r="L16" s="4">
        <f t="shared" si="3"/>
        <v>80642664</v>
      </c>
      <c r="M16" s="4">
        <f t="shared" si="3"/>
        <v>80642664</v>
      </c>
      <c r="N16" s="4">
        <f>+M16</f>
        <v>80642664</v>
      </c>
      <c r="O16" s="4">
        <f t="shared" ref="O16:O41" si="4">SUM(C16:N16)</f>
        <v>967711968</v>
      </c>
      <c r="P16" s="34"/>
      <c r="Q16" s="40"/>
      <c r="R16" s="36"/>
      <c r="S16" s="2"/>
      <c r="T16" s="2"/>
      <c r="U16" s="68">
        <f>+[10]Resultados!$H$9-[10]Resultados!$H$24</f>
        <v>79380196</v>
      </c>
    </row>
    <row r="17" spans="1:26" x14ac:dyDescent="0.25">
      <c r="A17" s="54" t="s">
        <v>9</v>
      </c>
      <c r="B17" s="10">
        <f t="shared" ref="B17:H17" si="5">SUM(B18:B26)</f>
        <v>328400000</v>
      </c>
      <c r="C17" s="10">
        <f t="shared" si="5"/>
        <v>14700000</v>
      </c>
      <c r="D17" s="10">
        <f t="shared" si="5"/>
        <v>14700000</v>
      </c>
      <c r="E17" s="10">
        <f t="shared" si="5"/>
        <v>14700000</v>
      </c>
      <c r="F17" s="154">
        <f t="shared" si="5"/>
        <v>41500000</v>
      </c>
      <c r="G17" s="155">
        <f t="shared" si="5"/>
        <v>48776000</v>
      </c>
      <c r="H17" s="155">
        <f>SUM(H18:H26)</f>
        <v>33776000</v>
      </c>
      <c r="I17" s="155">
        <f>SUM(I18:I26)</f>
        <v>34700000</v>
      </c>
      <c r="J17" s="156">
        <f t="shared" ref="I17:M17" si="6">SUM(J18:J25)</f>
        <v>46000000</v>
      </c>
      <c r="K17" s="157">
        <f t="shared" si="6"/>
        <v>6000000</v>
      </c>
      <c r="L17" s="10">
        <f t="shared" si="6"/>
        <v>38500000</v>
      </c>
      <c r="M17" s="10">
        <f t="shared" si="6"/>
        <v>14500000</v>
      </c>
      <c r="N17" s="10">
        <f>SUM(N18:N39)</f>
        <v>46000000</v>
      </c>
      <c r="O17" s="10">
        <f t="shared" ref="O17:T17" si="7">SUM(O18:O26)</f>
        <v>203852000</v>
      </c>
      <c r="P17" s="10">
        <f t="shared" si="7"/>
        <v>4311268</v>
      </c>
      <c r="Q17" s="10">
        <f t="shared" si="7"/>
        <v>15011958</v>
      </c>
      <c r="R17" s="10">
        <f t="shared" si="7"/>
        <v>6842675</v>
      </c>
      <c r="S17" s="10">
        <f t="shared" si="7"/>
        <v>11450400</v>
      </c>
      <c r="T17" s="10">
        <f t="shared" si="7"/>
        <v>14682730</v>
      </c>
      <c r="U17" s="155">
        <f>SUM(U18:U26)</f>
        <v>33454796</v>
      </c>
      <c r="V17" s="155">
        <f>SUM(V18:V26)</f>
        <v>15311168</v>
      </c>
      <c r="W17" s="20"/>
      <c r="X17" s="20"/>
      <c r="Y17" s="20"/>
      <c r="Z17" s="20"/>
    </row>
    <row r="18" spans="1:26" x14ac:dyDescent="0.25">
      <c r="A18" s="5" t="s">
        <v>195</v>
      </c>
      <c r="B18" s="4">
        <v>0</v>
      </c>
      <c r="C18" s="4"/>
      <c r="D18" s="4"/>
      <c r="E18" s="4"/>
      <c r="F18" s="4"/>
      <c r="G18" s="4"/>
      <c r="H18" s="4"/>
      <c r="I18" s="4">
        <v>0</v>
      </c>
      <c r="J18" s="88"/>
      <c r="K18" s="4"/>
      <c r="L18" s="4">
        <v>0</v>
      </c>
      <c r="M18" s="4"/>
      <c r="N18" s="4"/>
      <c r="O18" s="4">
        <f t="shared" si="4"/>
        <v>0</v>
      </c>
      <c r="P18" s="34"/>
      <c r="Q18" s="40"/>
      <c r="R18" s="36"/>
      <c r="S18" s="2"/>
      <c r="T18" s="37"/>
      <c r="V18" s="20"/>
      <c r="W18" s="20"/>
      <c r="X18" s="20"/>
      <c r="Y18" s="20"/>
      <c r="Z18" s="20"/>
    </row>
    <row r="19" spans="1:26" x14ac:dyDescent="0.25">
      <c r="A19" s="5" t="s">
        <v>126</v>
      </c>
      <c r="B19" s="4">
        <v>0</v>
      </c>
      <c r="C19" s="4"/>
      <c r="D19" s="4"/>
      <c r="E19" s="4"/>
      <c r="F19" s="4">
        <v>0</v>
      </c>
      <c r="G19" s="4">
        <v>0</v>
      </c>
      <c r="H19" s="46">
        <f>+[8]Ppto!N139</f>
        <v>15000000</v>
      </c>
      <c r="I19" s="46">
        <f>+[8]Ppto!O139</f>
        <v>0</v>
      </c>
      <c r="J19" s="4">
        <v>0</v>
      </c>
      <c r="K19" s="46">
        <v>0</v>
      </c>
      <c r="L19" s="4">
        <f>+'[11]Planeación 2025 P&amp;K (def Mod1)'!$R$50</f>
        <v>5000000</v>
      </c>
      <c r="M19" s="4"/>
      <c r="N19" s="4"/>
      <c r="O19" s="4">
        <f>SUM(C19:N19)-15000000</f>
        <v>5000000</v>
      </c>
      <c r="P19" s="34"/>
      <c r="Q19" s="40"/>
      <c r="R19" s="36"/>
      <c r="S19" s="2"/>
      <c r="T19" s="37"/>
      <c r="U19" s="68">
        <f>+[12]EjecucionPptalPasiva!$Q$219</f>
        <v>7935000</v>
      </c>
      <c r="V19" s="20">
        <v>4907900</v>
      </c>
      <c r="W19" s="20"/>
      <c r="X19" s="20"/>
      <c r="Y19" s="20"/>
      <c r="Z19" s="20"/>
    </row>
    <row r="20" spans="1:26" ht="15.75" thickBot="1" x14ac:dyDescent="0.3">
      <c r="A20" s="5" t="s">
        <v>192</v>
      </c>
      <c r="B20" s="93">
        <f>+[13]EjecucionPptalPasiva!D257+[13]EjecucionPptalPasiva!D279</f>
        <v>42000000</v>
      </c>
      <c r="C20" s="93">
        <f>+[7]Ppto!Y132</f>
        <v>0</v>
      </c>
      <c r="D20" s="4"/>
      <c r="E20" s="4"/>
      <c r="F20" s="115">
        <f>+'[11]Planeación 2025 P&amp;K (def Mod1)'!L$17+'[11]Planeación 2025 P&amp;K (def Mod1)'!L$18-6200000</f>
        <v>21300000</v>
      </c>
      <c r="G20" s="88">
        <f>+[8]Ppto!$M$134</f>
        <v>0</v>
      </c>
      <c r="H20" s="4"/>
      <c r="I20" s="4"/>
      <c r="J20" s="116">
        <f>+'[11]Planeación 2025 P&amp;K (def Mod1)'!$P$17</f>
        <v>20000000</v>
      </c>
      <c r="K20" s="4"/>
      <c r="L20" s="4">
        <f>+'[11]Planeación 2025 P&amp;K (def Mod1)'!$R$18</f>
        <v>7500000</v>
      </c>
      <c r="M20" s="4">
        <f>+'[11]Planeación 2025 P&amp;K (def Mod1)'!$S$19</f>
        <v>2500000</v>
      </c>
      <c r="N20" s="4">
        <f>+'[11]Planeación 2025 P&amp;K (def Mod1)'!$T$17+'[11]Planeación 2025 P&amp;K (def Mod1)'!$T$18</f>
        <v>20000000</v>
      </c>
      <c r="O20" s="4">
        <f>SUM(C20:N20)-25000000</f>
        <v>46300000</v>
      </c>
      <c r="P20" s="34"/>
      <c r="Q20" s="40"/>
      <c r="R20" s="36"/>
      <c r="S20" s="2"/>
      <c r="T20" s="37"/>
      <c r="V20" s="20"/>
      <c r="W20" s="20"/>
      <c r="X20" s="20"/>
      <c r="Y20" s="20"/>
      <c r="Z20" s="20"/>
    </row>
    <row r="21" spans="1:26" ht="15.75" thickBot="1" x14ac:dyDescent="0.3">
      <c r="A21" s="5" t="s">
        <v>187</v>
      </c>
      <c r="B21" s="4">
        <v>0</v>
      </c>
      <c r="C21" s="4"/>
      <c r="D21" s="4"/>
      <c r="E21" s="4">
        <v>0</v>
      </c>
      <c r="F21" s="4">
        <f>+'[11]Planeación 2025 P&amp;K (def Mod1)'!L25</f>
        <v>3000000</v>
      </c>
      <c r="G21" s="88">
        <f>+[8]Ppto!M152+[8]Ppto!M153</f>
        <v>4076000</v>
      </c>
      <c r="H21" s="46">
        <f>+[8]Ppto!N152+[8]Ppto!N153</f>
        <v>4076000</v>
      </c>
      <c r="I21" s="46">
        <v>0</v>
      </c>
      <c r="J21" s="4"/>
      <c r="K21" s="4"/>
      <c r="L21" s="4"/>
      <c r="M21" s="4">
        <f>+'[11]Planeación 2025 P&amp;K (def Mod1)'!$S$25</f>
        <v>6000000</v>
      </c>
      <c r="N21" s="4"/>
      <c r="O21" s="4">
        <f t="shared" si="4"/>
        <v>17152000</v>
      </c>
      <c r="P21" s="34"/>
      <c r="Q21" s="153">
        <v>2175600</v>
      </c>
      <c r="R21" s="36">
        <f>2175600+330000</f>
        <v>2505600</v>
      </c>
      <c r="S21" s="2">
        <v>1450400</v>
      </c>
      <c r="T21" s="153">
        <v>1813000</v>
      </c>
      <c r="U21" s="68">
        <f>+[12]EjecucionPptalPasiva!$Q$233+[12]EjecucionPptalPasiva!$Q$246</f>
        <v>3626000</v>
      </c>
      <c r="V21" s="183">
        <v>1350950</v>
      </c>
      <c r="W21" s="20"/>
      <c r="X21" s="20"/>
      <c r="Y21" s="20"/>
      <c r="Z21" s="20"/>
    </row>
    <row r="22" spans="1:26" ht="15.75" thickBot="1" x14ac:dyDescent="0.3">
      <c r="A22" s="5" t="s">
        <v>127</v>
      </c>
      <c r="B22" s="4">
        <v>0</v>
      </c>
      <c r="C22" s="4"/>
      <c r="D22" s="4"/>
      <c r="E22" s="114"/>
      <c r="F22" s="115">
        <f>+'[11]Planeación 2025 P&amp;K (def Mod1)'!L19</f>
        <v>2500000</v>
      </c>
      <c r="G22" s="88">
        <f>+[8]Ppto!$M$134</f>
        <v>0</v>
      </c>
      <c r="H22" s="4"/>
      <c r="I22" s="51">
        <v>0</v>
      </c>
      <c r="J22" s="4"/>
      <c r="K22" s="4"/>
      <c r="L22" s="4"/>
      <c r="M22" s="4"/>
      <c r="N22" s="4">
        <f>+'[11]Planeación 2025 P&amp;K (def Mod1)'!$T$19</f>
        <v>0</v>
      </c>
      <c r="O22" s="4">
        <f t="shared" si="4"/>
        <v>2500000</v>
      </c>
      <c r="P22" s="34"/>
      <c r="Q22" s="40"/>
      <c r="R22" s="36"/>
      <c r="S22" s="2"/>
      <c r="T22" s="37"/>
      <c r="V22" s="20"/>
      <c r="W22" s="20"/>
      <c r="X22" s="20"/>
      <c r="Y22" s="20"/>
      <c r="Z22" s="20"/>
    </row>
    <row r="23" spans="1:26" ht="15.75" thickBot="1" x14ac:dyDescent="0.3">
      <c r="A23" s="5" t="s">
        <v>128</v>
      </c>
      <c r="B23" s="93">
        <f>+[13]EjecucionPptalPasiva!D256</f>
        <v>110000000</v>
      </c>
      <c r="C23" s="93">
        <f>+[7]Ppto!Y138</f>
        <v>0</v>
      </c>
      <c r="D23" s="4"/>
      <c r="E23" s="114">
        <v>0</v>
      </c>
      <c r="F23" s="4">
        <v>0</v>
      </c>
      <c r="G23" s="88">
        <f>+[8]Ppto!M138</f>
        <v>30000000</v>
      </c>
      <c r="H23" s="88">
        <f>+[8]Ppto!N138</f>
        <v>0</v>
      </c>
      <c r="I23" s="46">
        <f>+[8]Ppto!O138</f>
        <v>20000000</v>
      </c>
      <c r="J23" s="116">
        <f>+'[11]Planeación 2025 P&amp;K (def Mod1)'!P20</f>
        <v>20000000</v>
      </c>
      <c r="K23" s="46">
        <f>+'[11]Planeación 2025 P&amp;K (def Mod1)'!Q20</f>
        <v>0</v>
      </c>
      <c r="L23" s="4">
        <f>+'[11]Planeación 2025 P&amp;K (def Mod1)'!$R$20</f>
        <v>20000000</v>
      </c>
      <c r="M23" s="4">
        <v>0</v>
      </c>
      <c r="N23" s="4">
        <f>+'[11]Planeación 2025 P&amp;K (def Mod1)'!$T$20</f>
        <v>20000000</v>
      </c>
      <c r="O23" s="4">
        <f>SUM(C23:N23)-12000000</f>
        <v>98000000</v>
      </c>
      <c r="P23" s="34"/>
      <c r="Q23" s="153">
        <v>8400000</v>
      </c>
      <c r="R23" s="36"/>
      <c r="S23" s="2"/>
      <c r="T23" s="153">
        <v>5040000</v>
      </c>
      <c r="V23" s="20"/>
      <c r="W23" s="20"/>
      <c r="X23" s="20"/>
      <c r="Y23" s="20"/>
      <c r="Z23" s="20"/>
    </row>
    <row r="24" spans="1:26" ht="15.75" thickBot="1" x14ac:dyDescent="0.3">
      <c r="A24" s="5" t="s">
        <v>182</v>
      </c>
      <c r="B24" s="4">
        <v>0</v>
      </c>
      <c r="C24" s="4"/>
      <c r="D24" s="4">
        <v>0</v>
      </c>
      <c r="E24" s="4"/>
      <c r="F24" s="4"/>
      <c r="G24" s="4"/>
      <c r="H24" s="4"/>
      <c r="I24" s="4">
        <v>0</v>
      </c>
      <c r="J24" s="4"/>
      <c r="K24" s="4"/>
      <c r="L24" s="4"/>
      <c r="M24" s="4"/>
      <c r="N24" s="4"/>
      <c r="O24" s="4">
        <f>SUM(C24:N24)-12000000</f>
        <v>-12000000</v>
      </c>
      <c r="P24" s="34"/>
      <c r="Q24" s="40"/>
      <c r="R24" s="36"/>
      <c r="S24" s="2"/>
      <c r="T24" s="37"/>
      <c r="V24" s="20"/>
      <c r="W24" s="20"/>
      <c r="X24" s="20"/>
      <c r="Y24" s="20"/>
      <c r="Z24" s="20"/>
    </row>
    <row r="25" spans="1:26" ht="15.75" thickBot="1" x14ac:dyDescent="0.3">
      <c r="A25" s="5" t="s">
        <v>172</v>
      </c>
      <c r="B25" s="93">
        <f>+[13]EjecucionPptalPasiva!$D$280</f>
        <v>56400000</v>
      </c>
      <c r="C25" s="4">
        <f>+[7]Ppto!Y133</f>
        <v>4700000</v>
      </c>
      <c r="D25" s="4">
        <f>+[7]Ppto!Z133</f>
        <v>4700000</v>
      </c>
      <c r="E25" s="4">
        <f>+[7]Ppto!AA133</f>
        <v>4700000</v>
      </c>
      <c r="F25" s="118">
        <f>+[7]Ppto!AB133</f>
        <v>4700000</v>
      </c>
      <c r="G25" s="88">
        <f>+[7]Ppto!AC133</f>
        <v>4700000</v>
      </c>
      <c r="H25" s="46">
        <f>+[7]Ppto!AD133</f>
        <v>4700000</v>
      </c>
      <c r="I25" s="46">
        <f>+[7]Ppto!AE133</f>
        <v>4700000</v>
      </c>
      <c r="J25" s="116">
        <f>+'[11]Planeación 2025 P&amp;K (def Mod1)'!P24</f>
        <v>6000000</v>
      </c>
      <c r="K25" s="46">
        <f>+'[11]Planeación 2025 P&amp;K (def Mod1)'!Q24</f>
        <v>6000000</v>
      </c>
      <c r="L25" s="4">
        <f>+'[11]Planeación 2025 P&amp;K (def Mod1)'!$R$24</f>
        <v>6000000</v>
      </c>
      <c r="M25" s="4">
        <f>+'[11]Planeación 2025 P&amp;K (def Mod1)'!$S$24</f>
        <v>6000000</v>
      </c>
      <c r="N25" s="4">
        <f>+'[11]Planeación 2025 P&amp;K (def Mod1)'!$S$24</f>
        <v>6000000</v>
      </c>
      <c r="O25" s="4">
        <f>SUM(C25:N25)-16000000</f>
        <v>46900000</v>
      </c>
      <c r="P25" s="153">
        <v>4311268</v>
      </c>
      <c r="Q25" s="153">
        <v>4436358</v>
      </c>
      <c r="R25" s="36">
        <v>4337075</v>
      </c>
      <c r="S25" s="2"/>
      <c r="T25" s="37"/>
      <c r="U25" s="68">
        <f>+[12]EjecucionPptalPasiva!$Q$247</f>
        <v>13172113</v>
      </c>
      <c r="V25" s="20"/>
      <c r="W25" s="20"/>
      <c r="X25" s="20"/>
      <c r="Y25" s="20"/>
      <c r="Z25" s="20"/>
    </row>
    <row r="26" spans="1:26" ht="15.75" thickBot="1" x14ac:dyDescent="0.3">
      <c r="A26" s="5" t="s">
        <v>205</v>
      </c>
      <c r="B26" s="93">
        <f>+[13]EjecucionPptalPasiva!D278</f>
        <v>120000000</v>
      </c>
      <c r="C26" s="4">
        <f>+[7]Ppto!Y117</f>
        <v>10000000</v>
      </c>
      <c r="D26" s="4">
        <f>+[7]Ppto!Z117</f>
        <v>10000000</v>
      </c>
      <c r="E26" s="4">
        <f>+[7]Ppto!AA117</f>
        <v>10000000</v>
      </c>
      <c r="F26" s="118">
        <f>+[7]Ppto!AB117</f>
        <v>10000000</v>
      </c>
      <c r="G26" s="88">
        <f>+[7]Ppto!AC117</f>
        <v>10000000</v>
      </c>
      <c r="H26" s="46">
        <f>+[7]Ppto!AD117</f>
        <v>10000000</v>
      </c>
      <c r="I26" s="46">
        <f>+[8]Ppto!$O$117</f>
        <v>10000000</v>
      </c>
      <c r="J26" s="116"/>
      <c r="K26" s="46"/>
      <c r="L26" s="4"/>
      <c r="M26" s="4"/>
      <c r="N26" s="4"/>
      <c r="O26" s="4"/>
      <c r="P26" s="34"/>
      <c r="Q26" s="40"/>
      <c r="R26" s="36"/>
      <c r="S26" s="2">
        <v>10000000</v>
      </c>
      <c r="T26" s="153">
        <v>7829730</v>
      </c>
      <c r="U26" s="68">
        <f>+[12]EjecucionPptalPasiva!$Q$245</f>
        <v>8721683</v>
      </c>
      <c r="V26" s="153">
        <v>9052318</v>
      </c>
      <c r="W26" s="20"/>
      <c r="X26" s="20"/>
      <c r="Y26" s="20"/>
      <c r="Z26" s="20"/>
    </row>
    <row r="27" spans="1:26" x14ac:dyDescent="0.2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>
        <f t="shared" si="4"/>
        <v>0</v>
      </c>
      <c r="P27" s="34"/>
      <c r="Q27" s="40"/>
      <c r="R27" s="36"/>
      <c r="S27" s="2"/>
      <c r="T27" s="37"/>
      <c r="V27" s="20"/>
      <c r="W27" s="20"/>
      <c r="X27" s="20"/>
      <c r="Y27" s="20"/>
      <c r="Z27" s="20"/>
    </row>
    <row r="28" spans="1:26" x14ac:dyDescent="0.25">
      <c r="A28" s="54" t="s">
        <v>8</v>
      </c>
      <c r="B28" s="10">
        <f>SUM(B29:B36)</f>
        <v>55900000</v>
      </c>
      <c r="C28" s="10">
        <f>SUM(C29:C36)</f>
        <v>0</v>
      </c>
      <c r="D28" s="10">
        <f>SUM(D29:D36)</f>
        <v>2000000</v>
      </c>
      <c r="E28" s="10">
        <f>SUM(E29:E36)</f>
        <v>7000000</v>
      </c>
      <c r="F28" s="10">
        <f>SUM(F29:F36)</f>
        <v>9100000</v>
      </c>
      <c r="G28" s="10">
        <f t="shared" ref="G28:U28" si="8">SUM(G29:G36)</f>
        <v>9100000</v>
      </c>
      <c r="H28" s="10">
        <f>SUM(H29:H36)</f>
        <v>8100000</v>
      </c>
      <c r="I28" s="10">
        <f>SUM(I29:I36)</f>
        <v>4100000</v>
      </c>
      <c r="J28" s="10">
        <f t="shared" si="8"/>
        <v>0</v>
      </c>
      <c r="K28" s="10">
        <f t="shared" si="8"/>
        <v>0</v>
      </c>
      <c r="L28" s="10">
        <f t="shared" si="8"/>
        <v>0</v>
      </c>
      <c r="M28" s="10">
        <f t="shared" si="8"/>
        <v>0</v>
      </c>
      <c r="N28" s="10">
        <f t="shared" si="8"/>
        <v>0</v>
      </c>
      <c r="O28" s="10">
        <f t="shared" si="8"/>
        <v>358641000</v>
      </c>
      <c r="P28" s="10">
        <f t="shared" si="8"/>
        <v>0</v>
      </c>
      <c r="Q28" s="10">
        <f t="shared" si="8"/>
        <v>0</v>
      </c>
      <c r="R28" s="10">
        <f t="shared" si="8"/>
        <v>0</v>
      </c>
      <c r="S28" s="10">
        <f t="shared" si="8"/>
        <v>0</v>
      </c>
      <c r="T28" s="37"/>
      <c r="U28" s="10">
        <f t="shared" si="8"/>
        <v>0</v>
      </c>
      <c r="V28" s="10">
        <f>SUM(V29:V36)</f>
        <v>3800000</v>
      </c>
      <c r="W28" s="20"/>
      <c r="X28" s="20"/>
      <c r="Y28" s="20"/>
      <c r="Z28" s="20"/>
    </row>
    <row r="29" spans="1:26" x14ac:dyDescent="0.25">
      <c r="A29" s="5" t="s">
        <v>208</v>
      </c>
      <c r="B29" s="118">
        <f>+[13]EjecucionPptalPasiva!$D$281</f>
        <v>15000000</v>
      </c>
      <c r="C29" s="4"/>
      <c r="D29" s="4"/>
      <c r="E29" s="4">
        <f>+[8]Ppto!$K$140</f>
        <v>5000000</v>
      </c>
      <c r="F29" s="118">
        <f>+[8]Ppto!K140</f>
        <v>5000000</v>
      </c>
      <c r="G29" s="88">
        <f>+[8]Ppto!L140</f>
        <v>5000000</v>
      </c>
      <c r="H29" s="88">
        <f>+[8]Ppto!N140</f>
        <v>0</v>
      </c>
      <c r="I29" s="10"/>
      <c r="J29" s="10"/>
      <c r="K29" s="10"/>
      <c r="L29" s="10"/>
      <c r="M29" s="10"/>
      <c r="N29" s="10"/>
      <c r="O29" s="4"/>
      <c r="P29" s="34"/>
      <c r="Q29" s="40"/>
      <c r="R29" s="2"/>
      <c r="T29" s="37"/>
      <c r="V29" s="20"/>
      <c r="W29" s="20"/>
      <c r="X29" s="20"/>
      <c r="Y29" s="20"/>
      <c r="Z29" s="20"/>
    </row>
    <row r="30" spans="1:26" x14ac:dyDescent="0.25">
      <c r="A30" s="5" t="s">
        <v>129</v>
      </c>
      <c r="B30" s="46">
        <v>0</v>
      </c>
      <c r="C30" s="4">
        <f>+B30/12</f>
        <v>0</v>
      </c>
      <c r="D30" s="4">
        <f>+C30</f>
        <v>0</v>
      </c>
      <c r="E30" s="4">
        <f t="shared" ref="E30:N30" si="9">+D30</f>
        <v>0</v>
      </c>
      <c r="F30" s="4">
        <v>0</v>
      </c>
      <c r="G30" s="4">
        <v>0</v>
      </c>
      <c r="H30" s="4">
        <v>0</v>
      </c>
      <c r="I30" s="4">
        <f t="shared" si="9"/>
        <v>0</v>
      </c>
      <c r="J30" s="4">
        <f t="shared" si="9"/>
        <v>0</v>
      </c>
      <c r="K30" s="4">
        <f t="shared" si="9"/>
        <v>0</v>
      </c>
      <c r="L30" s="4">
        <f t="shared" si="9"/>
        <v>0</v>
      </c>
      <c r="M30" s="4">
        <f t="shared" si="9"/>
        <v>0</v>
      </c>
      <c r="N30" s="4">
        <f t="shared" si="9"/>
        <v>0</v>
      </c>
      <c r="O30" s="4">
        <f>SUM(C30:N30)+11000000</f>
        <v>11000000</v>
      </c>
      <c r="P30" s="34"/>
      <c r="Q30" s="40"/>
      <c r="R30" s="2"/>
      <c r="T30" s="37"/>
      <c r="V30" s="20"/>
      <c r="W30" s="20"/>
      <c r="X30" s="20"/>
      <c r="Y30" s="20"/>
      <c r="Z30" s="20"/>
    </row>
    <row r="31" spans="1:26" x14ac:dyDescent="0.25">
      <c r="A31" s="5" t="s">
        <v>130</v>
      </c>
      <c r="B31" s="46">
        <v>0</v>
      </c>
      <c r="C31" s="4">
        <f>+B31/12</f>
        <v>0</v>
      </c>
      <c r="D31" s="4">
        <f>+C31</f>
        <v>0</v>
      </c>
      <c r="E31" s="4">
        <f t="shared" ref="E31:N31" si="10">+D31</f>
        <v>0</v>
      </c>
      <c r="F31" s="4">
        <v>0</v>
      </c>
      <c r="G31" s="4">
        <v>0</v>
      </c>
      <c r="H31" s="4">
        <v>0</v>
      </c>
      <c r="I31" s="4">
        <f t="shared" si="10"/>
        <v>0</v>
      </c>
      <c r="J31" s="4">
        <f t="shared" si="10"/>
        <v>0</v>
      </c>
      <c r="K31" s="4">
        <f t="shared" si="10"/>
        <v>0</v>
      </c>
      <c r="L31" s="4">
        <f t="shared" si="10"/>
        <v>0</v>
      </c>
      <c r="M31" s="4">
        <f t="shared" si="10"/>
        <v>0</v>
      </c>
      <c r="N31" s="4">
        <f t="shared" si="10"/>
        <v>0</v>
      </c>
      <c r="O31" s="4">
        <f>SUM(C31:N31)-20520000</f>
        <v>-20520000</v>
      </c>
      <c r="P31" s="34"/>
      <c r="Q31" s="40"/>
      <c r="R31" s="2"/>
      <c r="T31" s="37"/>
      <c r="V31" s="20"/>
      <c r="W31" s="20"/>
      <c r="X31" s="20"/>
      <c r="Y31" s="20"/>
      <c r="Z31" s="20"/>
    </row>
    <row r="32" spans="1:26" ht="15.75" thickBot="1" x14ac:dyDescent="0.3">
      <c r="A32" s="5" t="s">
        <v>132</v>
      </c>
      <c r="B32" s="84"/>
      <c r="C32" s="4"/>
      <c r="D32" s="4">
        <v>0</v>
      </c>
      <c r="E32" s="4">
        <v>0</v>
      </c>
      <c r="F32" s="4"/>
      <c r="G32" s="4"/>
      <c r="H32" s="4"/>
      <c r="I32" s="4"/>
      <c r="J32" s="4"/>
      <c r="K32" s="4"/>
      <c r="L32" s="4"/>
      <c r="M32" s="4"/>
      <c r="N32" s="4"/>
      <c r="O32" s="4">
        <f>SUM(C32:N32)-30000000</f>
        <v>-30000000</v>
      </c>
      <c r="P32" s="34"/>
      <c r="Q32" s="40"/>
      <c r="R32" s="2"/>
      <c r="T32" s="37"/>
      <c r="V32" s="20"/>
      <c r="W32" s="20"/>
      <c r="X32" s="20"/>
      <c r="Y32" s="20"/>
      <c r="Z32" s="20"/>
    </row>
    <row r="33" spans="1:26" ht="15.75" thickBot="1" x14ac:dyDescent="0.3">
      <c r="A33" s="5" t="s">
        <v>191</v>
      </c>
      <c r="B33" s="118">
        <f>+[13]EjecucionPptalPasiva!$D$282</f>
        <v>18900000</v>
      </c>
      <c r="C33" s="4">
        <f>+[7]Ppto!$Y$132</f>
        <v>0</v>
      </c>
      <c r="D33" s="4"/>
      <c r="E33" s="4"/>
      <c r="F33" s="118">
        <f>+[8]Ppto!$L$132</f>
        <v>2100000</v>
      </c>
      <c r="G33" s="88">
        <f>+[8]Ppto!L132</f>
        <v>2100000</v>
      </c>
      <c r="H33" s="46">
        <f>+[8]Ppto!N132</f>
        <v>2100000</v>
      </c>
      <c r="I33" s="46">
        <f>+[8]Ppto!O132</f>
        <v>2100000</v>
      </c>
      <c r="J33" s="4"/>
      <c r="K33" s="4"/>
      <c r="L33" s="4"/>
      <c r="M33" s="4"/>
      <c r="N33" s="4"/>
      <c r="O33" s="4"/>
      <c r="P33" s="34"/>
      <c r="Q33" s="40"/>
      <c r="R33" s="2"/>
      <c r="T33" s="37"/>
      <c r="V33" s="153">
        <v>3800000</v>
      </c>
      <c r="W33" s="20"/>
      <c r="X33" s="20"/>
      <c r="Y33" s="20"/>
      <c r="Z33" s="20"/>
    </row>
    <row r="34" spans="1:26" x14ac:dyDescent="0.25">
      <c r="A34" s="5" t="s">
        <v>209</v>
      </c>
      <c r="B34" s="118">
        <f>+[13]EjecucionPptalPasiva!$D$283</f>
        <v>18000000</v>
      </c>
      <c r="C34" s="4"/>
      <c r="D34" s="4">
        <f>+[8]Ppto!$J$137</f>
        <v>2000000</v>
      </c>
      <c r="E34" s="4">
        <f>+[8]Ppto!$J$137</f>
        <v>2000000</v>
      </c>
      <c r="F34" s="118">
        <f>+[8]Ppto!J137</f>
        <v>2000000</v>
      </c>
      <c r="G34" s="88">
        <f>+[8]Ppto!K137</f>
        <v>2000000</v>
      </c>
      <c r="H34" s="46">
        <f>+[8]Ppto!N137</f>
        <v>2000000</v>
      </c>
      <c r="I34" s="46">
        <f>+[8]Ppto!O137</f>
        <v>2000000</v>
      </c>
      <c r="J34" s="4"/>
      <c r="K34" s="4"/>
      <c r="L34" s="4"/>
      <c r="M34" s="4"/>
      <c r="N34" s="4"/>
      <c r="O34" s="4"/>
      <c r="P34" s="34"/>
      <c r="Q34" s="40"/>
      <c r="R34" s="2"/>
      <c r="T34" s="37"/>
      <c r="V34" s="20"/>
      <c r="W34" s="20"/>
      <c r="X34" s="20"/>
      <c r="Y34" s="20"/>
      <c r="Z34" s="20"/>
    </row>
    <row r="35" spans="1:26" x14ac:dyDescent="0.25">
      <c r="A35" s="5" t="s">
        <v>210</v>
      </c>
      <c r="B35" s="118">
        <f>+[13]EjecucionPptalPasiva!$D$284</f>
        <v>4000000</v>
      </c>
      <c r="C35" s="4"/>
      <c r="D35" s="4"/>
      <c r="E35" s="4"/>
      <c r="F35" s="4"/>
      <c r="G35" s="4"/>
      <c r="H35" s="46">
        <f>+[8]Ppto!N162</f>
        <v>4000000</v>
      </c>
      <c r="I35" s="46">
        <f>+[8]Ppto!O162</f>
        <v>0</v>
      </c>
      <c r="J35" s="4"/>
      <c r="K35" s="4"/>
      <c r="L35" s="4"/>
      <c r="M35" s="4"/>
      <c r="N35" s="4"/>
      <c r="O35" s="4"/>
      <c r="P35" s="34"/>
      <c r="Q35" s="40"/>
      <c r="R35" s="2"/>
      <c r="T35" s="37"/>
      <c r="V35" s="20"/>
      <c r="W35" s="20"/>
      <c r="X35" s="20"/>
      <c r="Y35" s="20"/>
      <c r="Z35" s="20"/>
    </row>
    <row r="36" spans="1:26" x14ac:dyDescent="0.25">
      <c r="A36" s="5" t="s">
        <v>125</v>
      </c>
      <c r="B36" s="4">
        <v>0</v>
      </c>
      <c r="C36" s="4"/>
      <c r="D36" s="4"/>
      <c r="E36" s="4"/>
      <c r="F36" s="4"/>
      <c r="G36" s="4"/>
      <c r="H36" s="4">
        <v>0</v>
      </c>
      <c r="I36" s="4"/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f>SUM(C36:N36)+398161000</f>
        <v>398161000</v>
      </c>
      <c r="P36" s="34"/>
      <c r="Q36" s="40"/>
      <c r="R36" s="2"/>
      <c r="T36" s="37"/>
      <c r="V36" s="20"/>
      <c r="W36" s="20"/>
      <c r="X36" s="20"/>
      <c r="Y36" s="20"/>
      <c r="Z36" s="20"/>
    </row>
    <row r="37" spans="1:26" x14ac:dyDescent="0.2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>
        <f t="shared" si="4"/>
        <v>0</v>
      </c>
      <c r="P37" s="34"/>
      <c r="Q37" s="40"/>
      <c r="R37" s="2"/>
      <c r="T37" s="37"/>
      <c r="V37" s="20"/>
      <c r="W37" s="20"/>
      <c r="X37" s="20"/>
      <c r="Y37" s="20"/>
      <c r="Z37" s="20"/>
    </row>
    <row r="38" spans="1:26" x14ac:dyDescent="0.25">
      <c r="A38" s="5" t="s">
        <v>10</v>
      </c>
      <c r="B38" s="10">
        <f>+B39</f>
        <v>0</v>
      </c>
      <c r="C38" s="4">
        <f t="shared" ref="C38:Q38" si="11">+C39</f>
        <v>0</v>
      </c>
      <c r="D38" s="4">
        <f t="shared" si="11"/>
        <v>0</v>
      </c>
      <c r="E38" s="4">
        <f t="shared" si="11"/>
        <v>0</v>
      </c>
      <c r="F38" s="10">
        <f t="shared" si="11"/>
        <v>0</v>
      </c>
      <c r="G38" s="10">
        <f t="shared" si="11"/>
        <v>0</v>
      </c>
      <c r="H38" s="10">
        <f t="shared" si="11"/>
        <v>0</v>
      </c>
      <c r="I38" s="10">
        <f t="shared" si="11"/>
        <v>0</v>
      </c>
      <c r="J38" s="10">
        <f t="shared" si="11"/>
        <v>0</v>
      </c>
      <c r="K38" s="10">
        <f t="shared" si="11"/>
        <v>0</v>
      </c>
      <c r="L38" s="10">
        <f t="shared" si="11"/>
        <v>0</v>
      </c>
      <c r="M38" s="10">
        <f t="shared" si="11"/>
        <v>0</v>
      </c>
      <c r="N38" s="10">
        <f t="shared" si="11"/>
        <v>0</v>
      </c>
      <c r="O38" s="10">
        <f t="shared" si="11"/>
        <v>-11000000</v>
      </c>
      <c r="P38" s="10">
        <f t="shared" si="11"/>
        <v>0</v>
      </c>
      <c r="Q38" s="10">
        <f t="shared" si="11"/>
        <v>0</v>
      </c>
      <c r="R38" s="36"/>
      <c r="S38" s="2"/>
      <c r="T38" s="37"/>
      <c r="V38" s="10">
        <f t="shared" ref="V38" si="12">+V39</f>
        <v>0</v>
      </c>
      <c r="W38" s="20"/>
      <c r="X38" s="20"/>
      <c r="Y38" s="20"/>
      <c r="Z38" s="20"/>
    </row>
    <row r="39" spans="1:26" x14ac:dyDescent="0.25">
      <c r="A39" s="5" t="s">
        <v>173</v>
      </c>
      <c r="B39" s="4">
        <v>0</v>
      </c>
      <c r="C39" s="4"/>
      <c r="D39" s="4"/>
      <c r="E39" s="4"/>
      <c r="F39" s="4"/>
      <c r="G39" s="4"/>
      <c r="H39" s="51">
        <v>0</v>
      </c>
      <c r="I39" s="51">
        <v>0</v>
      </c>
      <c r="J39" s="4"/>
      <c r="K39" s="4"/>
      <c r="L39" s="4"/>
      <c r="M39" s="4"/>
      <c r="N39" s="4"/>
      <c r="O39" s="4">
        <f>SUM(C39:N39)-11000000</f>
        <v>-11000000</v>
      </c>
      <c r="P39" s="34"/>
      <c r="Q39" s="40"/>
      <c r="R39" s="36"/>
      <c r="S39" s="2"/>
      <c r="T39" s="37"/>
      <c r="V39" s="20"/>
      <c r="W39" s="20"/>
      <c r="X39" s="20"/>
      <c r="Y39" s="20"/>
      <c r="Z39" s="20"/>
    </row>
    <row r="40" spans="1:26" x14ac:dyDescent="0.2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>
        <f t="shared" si="4"/>
        <v>0</v>
      </c>
      <c r="P40" s="34"/>
      <c r="Q40" s="40"/>
      <c r="R40" s="36"/>
      <c r="S40" s="2"/>
      <c r="T40" s="37"/>
      <c r="V40" s="20"/>
      <c r="W40" s="20"/>
      <c r="X40" s="20"/>
      <c r="Y40" s="20"/>
      <c r="Z40" s="20"/>
    </row>
    <row r="41" spans="1:26" x14ac:dyDescent="0.25">
      <c r="A41" s="5" t="s">
        <v>11</v>
      </c>
      <c r="B41" s="4"/>
      <c r="C41" s="4"/>
      <c r="D41" s="4">
        <f>+'2026Ej'!F22</f>
        <v>4528764.870000001</v>
      </c>
      <c r="E41" s="4">
        <f>+'2026Ej'!G22</f>
        <v>5074982</v>
      </c>
      <c r="F41" s="4">
        <v>0</v>
      </c>
      <c r="G41" s="4">
        <v>0</v>
      </c>
      <c r="H41" s="4"/>
      <c r="I41" s="4"/>
      <c r="J41" s="4"/>
      <c r="K41" s="4"/>
      <c r="L41" s="4"/>
      <c r="M41" s="4"/>
      <c r="N41" s="4"/>
      <c r="O41" s="4">
        <f t="shared" si="4"/>
        <v>9603746.870000001</v>
      </c>
      <c r="P41" s="34"/>
      <c r="Q41" s="40"/>
      <c r="R41" s="36"/>
      <c r="S41" s="2"/>
      <c r="T41" s="37"/>
      <c r="V41" s="20"/>
      <c r="W41" s="20"/>
      <c r="X41" s="20"/>
      <c r="Y41" s="20"/>
      <c r="Z41" s="20"/>
    </row>
    <row r="42" spans="1:26" ht="15.75" thickBot="1" x14ac:dyDescent="0.3">
      <c r="A42" s="54" t="s">
        <v>12</v>
      </c>
      <c r="B42" s="10">
        <f>SUM(B43:B57)</f>
        <v>390119700</v>
      </c>
      <c r="C42" s="10">
        <f>SUM(C43:C57)</f>
        <v>1887500</v>
      </c>
      <c r="D42" s="10">
        <f>SUM(D43:D57)</f>
        <v>5089000</v>
      </c>
      <c r="E42" s="10">
        <f>SUM(E43:E57)</f>
        <v>62450000</v>
      </c>
      <c r="F42" s="10">
        <f>SUM(F43:F57)</f>
        <v>30089000</v>
      </c>
      <c r="G42" s="10">
        <f>SUM(G43:G58)</f>
        <v>33150000</v>
      </c>
      <c r="H42" s="10">
        <f>SUM(H43:H58)</f>
        <v>32089000</v>
      </c>
      <c r="I42" s="10">
        <f>SUM(I43:I58)</f>
        <v>28150000</v>
      </c>
      <c r="J42" s="10">
        <f t="shared" ref="I42:J42" si="13">SUM(J43:J54)</f>
        <v>46481000</v>
      </c>
      <c r="K42" s="10">
        <f>SUM(K43:K54)</f>
        <v>56481000</v>
      </c>
      <c r="L42" s="10">
        <f>SUM(L43:L54)</f>
        <v>46481000</v>
      </c>
      <c r="M42" s="10">
        <f>SUM(M43:M54)</f>
        <v>40481000</v>
      </c>
      <c r="N42" s="10">
        <f>SUM(N43:N54)</f>
        <v>15481000</v>
      </c>
      <c r="O42" s="4">
        <f>SUM(C42:N42)-72500000</f>
        <v>325809500</v>
      </c>
      <c r="P42" s="10">
        <f>SUM(P43:P57)</f>
        <v>3070680</v>
      </c>
      <c r="Q42" s="10">
        <f>SUM(Q43:Q57)</f>
        <v>26236441</v>
      </c>
      <c r="R42" s="10">
        <f t="shared" ref="R42" si="14">SUM(R43:R57)</f>
        <v>14632579</v>
      </c>
      <c r="S42" s="10">
        <f>SUM(S43:S57)</f>
        <v>32982591</v>
      </c>
      <c r="T42" s="10">
        <f>SUM(T43:T57)</f>
        <v>509915</v>
      </c>
      <c r="U42" s="10">
        <f>SUM(U43:U58)</f>
        <v>18506057</v>
      </c>
      <c r="V42" s="10">
        <f>SUM(V43:V58)</f>
        <v>6619070</v>
      </c>
      <c r="W42" s="20"/>
      <c r="X42" s="20"/>
      <c r="Y42" s="20"/>
      <c r="Z42" s="20"/>
    </row>
    <row r="43" spans="1:26" ht="15.75" thickBot="1" x14ac:dyDescent="0.3">
      <c r="A43" s="5" t="s">
        <v>194</v>
      </c>
      <c r="B43" s="46">
        <v>0</v>
      </c>
      <c r="C43" s="4"/>
      <c r="D43" s="4"/>
      <c r="E43" s="4"/>
      <c r="F43" s="4"/>
      <c r="G43" s="88">
        <f>+[8]Ppto!M151</f>
        <v>7000000</v>
      </c>
      <c r="H43" s="46">
        <f>+[8]Ppto!N151</f>
        <v>7000000</v>
      </c>
      <c r="I43" s="46">
        <f>+[8]Ppto!O151</f>
        <v>7000000</v>
      </c>
      <c r="J43" s="4"/>
      <c r="K43" s="4"/>
      <c r="L43" s="4">
        <v>0</v>
      </c>
      <c r="M43" s="4"/>
      <c r="N43" s="4"/>
      <c r="O43" s="4">
        <f>SUM(C43:N43)+15000000</f>
        <v>36000000</v>
      </c>
      <c r="P43" s="34"/>
      <c r="Q43" s="40"/>
      <c r="R43" s="36"/>
      <c r="S43" s="2"/>
      <c r="T43" s="37"/>
      <c r="V43" s="183">
        <v>429000</v>
      </c>
      <c r="W43" s="20"/>
      <c r="X43" s="20"/>
      <c r="Y43" s="20"/>
      <c r="Z43" s="20"/>
    </row>
    <row r="44" spans="1:26" ht="15.75" thickBot="1" x14ac:dyDescent="0.3">
      <c r="A44" s="5" t="s">
        <v>207</v>
      </c>
      <c r="B44" s="93">
        <f>+[13]EjecucionPptalPasiva!$D$274</f>
        <v>8000000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34"/>
      <c r="Q44" s="40"/>
      <c r="R44" s="36"/>
      <c r="S44" s="2"/>
      <c r="T44" s="37"/>
      <c r="V44" s="20"/>
      <c r="W44" s="20"/>
      <c r="X44" s="20"/>
      <c r="Y44" s="20"/>
      <c r="Z44" s="20"/>
    </row>
    <row r="45" spans="1:26" ht="45.75" thickBot="1" x14ac:dyDescent="0.3">
      <c r="A45" s="21" t="s">
        <v>65</v>
      </c>
      <c r="B45" s="93">
        <f>+[13]EjecucionPptalPasiva!$D$255</f>
        <v>25000000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34"/>
      <c r="Q45" s="40"/>
      <c r="R45" s="36">
        <v>608422</v>
      </c>
      <c r="S45" s="2"/>
      <c r="T45" s="37"/>
      <c r="U45" s="68">
        <f>+[12]EjecucionPptalPasiva!$Q$220</f>
        <v>6329954</v>
      </c>
      <c r="V45" s="183">
        <v>5047410</v>
      </c>
      <c r="W45" s="20"/>
      <c r="X45" s="20"/>
      <c r="Y45" s="20"/>
      <c r="Z45" s="20"/>
    </row>
    <row r="46" spans="1:26" x14ac:dyDescent="0.25">
      <c r="A46" s="5" t="s">
        <v>131</v>
      </c>
      <c r="B46" s="124">
        <f>+[13]EjecucionPptalPasiva!$D$87</f>
        <v>91234000</v>
      </c>
      <c r="C46" s="4"/>
      <c r="D46" s="4"/>
      <c r="E46" s="84">
        <f>+[8]Ppto!$K$139</f>
        <v>30000000</v>
      </c>
      <c r="F46" s="4">
        <v>0</v>
      </c>
      <c r="G46" s="4">
        <v>0</v>
      </c>
      <c r="H46" s="4">
        <v>0</v>
      </c>
      <c r="I46" s="4"/>
      <c r="J46" s="4"/>
      <c r="K46" s="46">
        <f>+'[11]Planeación 2025 P&amp;K (def Mod1)'!$Q$22</f>
        <v>10000000</v>
      </c>
      <c r="L46" s="4">
        <v>0</v>
      </c>
      <c r="M46" s="4"/>
      <c r="N46" s="4">
        <f>+'[11]Planeación 2025 P&amp;K (def Mod1)'!$T$50</f>
        <v>0</v>
      </c>
      <c r="O46" s="4">
        <f>SUM(C46:N46)+20000000</f>
        <v>60000000</v>
      </c>
      <c r="P46" s="34"/>
      <c r="Q46" s="40"/>
      <c r="R46" s="36"/>
      <c r="S46" s="2"/>
      <c r="T46" s="37"/>
      <c r="V46" s="20"/>
      <c r="W46" s="20"/>
      <c r="X46" s="20"/>
      <c r="Y46" s="20"/>
      <c r="Z46" s="20"/>
    </row>
    <row r="47" spans="1:26" ht="15.75" thickBot="1" x14ac:dyDescent="0.3">
      <c r="A47" s="5" t="s">
        <v>186</v>
      </c>
      <c r="B47" s="93">
        <f>+[13]EjecucionPptalPasiva!$D$249</f>
        <v>150000000</v>
      </c>
      <c r="C47" s="4">
        <v>0</v>
      </c>
      <c r="D47" s="4">
        <f>+C47</f>
        <v>0</v>
      </c>
      <c r="E47" s="4">
        <f>+[8]Ppto!$K$156</f>
        <v>30000000</v>
      </c>
      <c r="F47" s="118">
        <f>+[8]Ppto!L156</f>
        <v>20000000</v>
      </c>
      <c r="G47" s="88">
        <f>+[8]Ppto!M156</f>
        <v>20000000</v>
      </c>
      <c r="H47" s="46">
        <f>+[8]Ppto!N156</f>
        <v>20000000</v>
      </c>
      <c r="I47" s="46">
        <f>+[8]Ppto!O156</f>
        <v>20000000</v>
      </c>
      <c r="J47" s="4">
        <f>+'[11]Planeación 2025 P&amp;K (def Mod1)'!$P$23</f>
        <v>25000000</v>
      </c>
      <c r="K47" s="46">
        <f>+J47</f>
        <v>25000000</v>
      </c>
      <c r="L47" s="4">
        <f>+'[11]Planeación 2025 P&amp;K (def Mod1)'!$R$23</f>
        <v>25000000</v>
      </c>
      <c r="M47" s="134">
        <f>+'[11]Planeación 2025 P&amp;K (def Mod1)'!$S$23</f>
        <v>25000000</v>
      </c>
      <c r="N47" s="4">
        <v>0</v>
      </c>
      <c r="O47" s="4">
        <f>SUM(C47:N47)-100000000</f>
        <v>110000000</v>
      </c>
      <c r="P47" s="34"/>
      <c r="Q47" s="40"/>
      <c r="R47" s="36"/>
      <c r="S47" s="2"/>
      <c r="T47" s="37"/>
      <c r="V47" s="20"/>
      <c r="W47" s="20"/>
      <c r="X47" s="20"/>
      <c r="Y47" s="20"/>
      <c r="Z47" s="20"/>
    </row>
    <row r="48" spans="1:26" ht="15.75" thickBot="1" x14ac:dyDescent="0.3">
      <c r="A48" s="5" t="s">
        <v>133</v>
      </c>
      <c r="B48" s="93">
        <f>+[13]EjecucionPptalPasiva!$D$254+[13]EjecucionPptalPasiva!$D$273</f>
        <v>11896500</v>
      </c>
      <c r="C48" s="4">
        <f>+[7]Ppto!$Y$152*0.25+([7]Ppto!$Y$153*0.25)</f>
        <v>687500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f t="shared" ref="I48:N48" si="15">+H48</f>
        <v>0</v>
      </c>
      <c r="J48" s="4">
        <f>+'[11]Planeación 2025 P&amp;K (def Mod1)'!$P$25</f>
        <v>6000000</v>
      </c>
      <c r="K48" s="46">
        <f t="shared" si="15"/>
        <v>6000000</v>
      </c>
      <c r="L48" s="4">
        <f>+'[11]Planeación 2025 P&amp;K (def Mod1)'!$R$25</f>
        <v>6000000</v>
      </c>
      <c r="M48" s="4">
        <v>0</v>
      </c>
      <c r="N48" s="4">
        <f t="shared" si="15"/>
        <v>0</v>
      </c>
      <c r="O48" s="4">
        <f>SUM(C48:N48)-7500000</f>
        <v>11187500</v>
      </c>
      <c r="P48" s="153">
        <v>688950</v>
      </c>
      <c r="Q48" s="40"/>
      <c r="R48" s="36"/>
      <c r="S48" s="2"/>
      <c r="T48" s="37"/>
      <c r="V48" s="20"/>
      <c r="W48" s="20"/>
      <c r="X48" s="20"/>
      <c r="Y48" s="20"/>
      <c r="Z48" s="20"/>
    </row>
    <row r="49" spans="1:26" ht="15.75" thickBot="1" x14ac:dyDescent="0.3">
      <c r="A49" s="5" t="s">
        <v>170</v>
      </c>
      <c r="B49" s="4">
        <f>+[13]EjecucionPptalPasiva!$D$275+[13]EjecucionPptalPasiva!$D$276+[13]EjecucionPptalPasiva!$D$277</f>
        <v>9739200</v>
      </c>
      <c r="C49" s="4">
        <f>+[7]Ppto!Z116+[7]Ppto!Y116</f>
        <v>300000</v>
      </c>
      <c r="D49" s="4">
        <f>+[8]Ppto!$J$115+[8]Ppto!$J$116</f>
        <v>250000</v>
      </c>
      <c r="E49" s="4">
        <f>+[8]Ppto!$J$115+[8]Ppto!$J$116</f>
        <v>250000</v>
      </c>
      <c r="F49" s="118">
        <f>+[8]Ppto!$J$115+[8]Ppto!J116</f>
        <v>250000</v>
      </c>
      <c r="G49" s="88">
        <f>+[8]Ppto!J115+[8]Ppto!K116</f>
        <v>250000</v>
      </c>
      <c r="H49" s="46">
        <f>+[8]Ppto!N115+[8]Ppto!N116</f>
        <v>250000</v>
      </c>
      <c r="I49" s="46">
        <f>+[8]Ppto!O115+[8]Ppto!O116</f>
        <v>250000</v>
      </c>
      <c r="J49" s="4">
        <f>+'[11]Planeación 2025 P&amp;K (def Mod1)'!$N$150+'[11]Planeación 2025 P&amp;K (def Mod1)'!$N$151+'[11]Planeación 2025 P&amp;K (def Mod1)'!$N$152</f>
        <v>13281000</v>
      </c>
      <c r="K49" s="46">
        <f>+'[11]Planeación 2025 P&amp;K (def Mod1)'!$N$150+'[11]Planeación 2025 P&amp;K (def Mod1)'!$N$151+'[11]Planeación 2025 P&amp;K (def Mod1)'!$N$152</f>
        <v>13281000</v>
      </c>
      <c r="L49" s="4">
        <f>+'[11]Planeación 2025 P&amp;K (def Mod1)'!$R$152+'[11]Planeación 2025 P&amp;K (def Mod1)'!$R$151+'[11]Planeación 2025 P&amp;K (def Mod1)'!$R$150</f>
        <v>13281000</v>
      </c>
      <c r="M49" s="4">
        <f>+'[11]Planeación 2025 P&amp;K (def Mod1)'!$S$150+'[11]Planeación 2025 P&amp;K (def Mod1)'!$S$151+'[11]Planeación 2025 P&amp;K (def Mod1)'!$S$152</f>
        <v>13281000</v>
      </c>
      <c r="N49" s="4">
        <f t="shared" ref="N49" si="16">+M49</f>
        <v>13281000</v>
      </c>
      <c r="O49" s="4">
        <f>SUM(C49:N49)</f>
        <v>68205000</v>
      </c>
      <c r="P49" s="153">
        <v>311871</v>
      </c>
      <c r="Q49" s="153">
        <v>311871</v>
      </c>
      <c r="R49" s="36">
        <v>5657383</v>
      </c>
      <c r="S49" s="2">
        <v>12545637</v>
      </c>
      <c r="T49" s="37"/>
      <c r="V49" s="20"/>
      <c r="W49" s="20"/>
      <c r="X49" s="20"/>
      <c r="Y49" s="20"/>
      <c r="Z49" s="20"/>
    </row>
    <row r="50" spans="1:26" ht="15.75" thickBot="1" x14ac:dyDescent="0.3">
      <c r="A50" s="5" t="s">
        <v>196</v>
      </c>
      <c r="B50" s="93">
        <f>+[13]EjecucionPptalPasiva!$D$271</f>
        <v>50800000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>
        <f>SUM(C50:N50)</f>
        <v>0</v>
      </c>
      <c r="P50" s="34"/>
      <c r="Q50" s="153">
        <v>24058000</v>
      </c>
      <c r="R50" s="36"/>
      <c r="S50" s="2">
        <v>18897000</v>
      </c>
      <c r="T50" s="153">
        <v>0</v>
      </c>
      <c r="U50" s="68">
        <f>+[12]EjecucionPptalPasiva!$Q$241</f>
        <v>7845000</v>
      </c>
      <c r="V50" s="20"/>
      <c r="W50" s="20"/>
      <c r="X50" s="20"/>
      <c r="Y50" s="20"/>
      <c r="Z50" s="20"/>
    </row>
    <row r="51" spans="1:26" x14ac:dyDescent="0.25">
      <c r="A51" s="5" t="s">
        <v>218</v>
      </c>
      <c r="B51" s="93">
        <f>+[13]EjecucionPptalPasiva!$D$306</f>
        <v>12000000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34"/>
      <c r="Q51" s="40"/>
      <c r="R51" s="36"/>
      <c r="S51" s="2"/>
      <c r="T51" s="37"/>
      <c r="V51" s="20"/>
      <c r="W51" s="20"/>
      <c r="X51" s="20"/>
      <c r="Y51" s="20"/>
      <c r="Z51" s="20"/>
    </row>
    <row r="52" spans="1:26" x14ac:dyDescent="0.25">
      <c r="A52" s="5" t="s">
        <v>219</v>
      </c>
      <c r="B52" s="93">
        <f>+[13]EjecucionPptalPasiva!$D$307</f>
        <v>7500000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34"/>
      <c r="Q52" s="40"/>
      <c r="R52" s="36"/>
      <c r="S52" s="2"/>
      <c r="T52" s="37"/>
      <c r="V52" s="20"/>
      <c r="W52" s="20"/>
      <c r="X52" s="20"/>
      <c r="Y52" s="20"/>
      <c r="Z52" s="20"/>
    </row>
    <row r="53" spans="1:26" x14ac:dyDescent="0.25">
      <c r="A53" s="5" t="s">
        <v>183</v>
      </c>
      <c r="B53" s="4">
        <v>0</v>
      </c>
      <c r="C53" s="4"/>
      <c r="D53" s="4"/>
      <c r="E53" s="4"/>
      <c r="F53" s="118">
        <f>+[8]Ppto!L157</f>
        <v>5000000</v>
      </c>
      <c r="G53" s="88">
        <f>+[8]Ppto!M157</f>
        <v>5000000</v>
      </c>
      <c r="H53" s="88">
        <f>+[8]Ppto!N157</f>
        <v>0</v>
      </c>
      <c r="I53" s="51">
        <v>0</v>
      </c>
      <c r="J53" s="4"/>
      <c r="K53" s="4"/>
      <c r="L53" s="4"/>
      <c r="M53" s="4"/>
      <c r="N53" s="4"/>
      <c r="O53" s="4"/>
      <c r="P53" s="34"/>
      <c r="Q53" s="40"/>
      <c r="R53" s="36"/>
      <c r="S53" s="2"/>
      <c r="T53" s="37"/>
      <c r="V53" s="20"/>
      <c r="W53" s="20"/>
      <c r="X53" s="20"/>
      <c r="Y53" s="20"/>
      <c r="Z53" s="20"/>
    </row>
    <row r="54" spans="1:26" ht="15.75" thickBot="1" x14ac:dyDescent="0.3">
      <c r="A54" s="5" t="s">
        <v>211</v>
      </c>
      <c r="B54" s="93">
        <f>+[13]EjecucionPptalPasiva!$D$246</f>
        <v>10000000</v>
      </c>
      <c r="C54" s="4"/>
      <c r="D54" s="4"/>
      <c r="E54" s="114">
        <v>2200000</v>
      </c>
      <c r="F54" s="4">
        <v>0</v>
      </c>
      <c r="G54" s="4">
        <v>0</v>
      </c>
      <c r="H54" s="116">
        <v>0</v>
      </c>
      <c r="I54" s="51">
        <v>0</v>
      </c>
      <c r="J54" s="116">
        <f>+'[11]Planeación 2025 P&amp;K (def Mod1)'!P21</f>
        <v>2200000</v>
      </c>
      <c r="K54" s="46">
        <f>+'[11]Planeación 2025 P&amp;K (def Mod1)'!Q21</f>
        <v>2200000</v>
      </c>
      <c r="L54" s="4">
        <f>+'[11]Planeación 2025 P&amp;K (def Mod1)'!$R$21</f>
        <v>2200000</v>
      </c>
      <c r="M54" s="4">
        <f>+'[11]Planeación 2025 P&amp;K (def Mod1)'!$S$21</f>
        <v>2200000</v>
      </c>
      <c r="N54" s="4">
        <f>+'[11]Planeación 2025 P&amp;K (def Mod1)'!$T$21</f>
        <v>2200000</v>
      </c>
      <c r="O54" s="4"/>
      <c r="P54" s="34"/>
      <c r="Q54" s="40"/>
      <c r="R54" s="36"/>
      <c r="S54" s="2"/>
      <c r="T54" s="37"/>
      <c r="V54" s="20"/>
      <c r="W54" s="20"/>
      <c r="X54" s="20"/>
      <c r="Y54" s="20"/>
      <c r="Z54" s="20"/>
    </row>
    <row r="55" spans="1:26" ht="15.75" thickBot="1" x14ac:dyDescent="0.3">
      <c r="A55" s="5" t="s">
        <v>212</v>
      </c>
      <c r="B55" s="93"/>
      <c r="C55" s="4"/>
      <c r="D55" s="4"/>
      <c r="E55" s="114"/>
      <c r="F55" s="4"/>
      <c r="G55" s="4"/>
      <c r="H55" s="116"/>
      <c r="I55" s="51"/>
      <c r="J55" s="116"/>
      <c r="K55" s="46"/>
      <c r="L55" s="4"/>
      <c r="M55" s="4"/>
      <c r="N55" s="4"/>
      <c r="O55" s="4"/>
      <c r="P55" s="153"/>
      <c r="Q55" s="153">
        <v>23900</v>
      </c>
      <c r="R55" s="153">
        <v>8039200</v>
      </c>
      <c r="S55" s="2"/>
      <c r="T55" s="37"/>
      <c r="V55" s="20"/>
      <c r="W55" s="20"/>
      <c r="X55" s="20"/>
      <c r="Y55" s="20"/>
      <c r="Z55" s="20"/>
    </row>
    <row r="56" spans="1:26" ht="15.75" thickBot="1" x14ac:dyDescent="0.3">
      <c r="A56" s="158" t="s">
        <v>227</v>
      </c>
      <c r="B56" s="51"/>
      <c r="C56" s="51"/>
      <c r="D56" s="51">
        <f>+[8]Ppto!J98*60.6%</f>
        <v>3939000</v>
      </c>
      <c r="E56" s="51"/>
      <c r="F56" s="51">
        <f>+[8]Ppto!L98*60.6%</f>
        <v>3939000</v>
      </c>
      <c r="G56" s="51">
        <f>+[8]Ppto!M98*60.6%</f>
        <v>0</v>
      </c>
      <c r="H56" s="46">
        <f>+[8]Ppto!N98*60.6%</f>
        <v>3939000</v>
      </c>
      <c r="I56" s="46">
        <f>+[8]Ppto!O98*60.6%</f>
        <v>0</v>
      </c>
      <c r="J56" s="51"/>
      <c r="K56" s="51"/>
      <c r="L56" s="51"/>
      <c r="M56" s="51"/>
      <c r="N56" s="51"/>
      <c r="O56" s="51"/>
      <c r="P56" s="153"/>
      <c r="Q56" s="153"/>
      <c r="R56" s="36"/>
      <c r="S56" s="2"/>
      <c r="T56" s="37"/>
      <c r="V56" s="20"/>
      <c r="W56" s="20"/>
      <c r="X56" s="20"/>
      <c r="Y56" s="20"/>
      <c r="Z56" s="20"/>
    </row>
    <row r="57" spans="1:26" ht="15.75" thickBot="1" x14ac:dyDescent="0.3">
      <c r="A57" s="158" t="s">
        <v>206</v>
      </c>
      <c r="B57" s="51">
        <f>+[13]EjecucionPptalPasiva!$D$253</f>
        <v>13950000</v>
      </c>
      <c r="C57" s="51">
        <f>+[7]Ppto!Y97*0.15</f>
        <v>900000</v>
      </c>
      <c r="D57" s="51">
        <f>+[8]Ppto!J97*15/100</f>
        <v>900000</v>
      </c>
      <c r="E57" s="51"/>
      <c r="F57" s="51">
        <f>+[8]Ppto!L97*15/100</f>
        <v>900000</v>
      </c>
      <c r="G57" s="88">
        <f>+[8]Ppto!M97*15/100</f>
        <v>900000</v>
      </c>
      <c r="H57" s="46">
        <f>+[8]Ppto!N97*15/100</f>
        <v>900000</v>
      </c>
      <c r="I57" s="46">
        <f>+[8]Ppto!O97*15/100</f>
        <v>900000</v>
      </c>
      <c r="J57" s="51"/>
      <c r="K57" s="51"/>
      <c r="L57" s="51"/>
      <c r="M57" s="51"/>
      <c r="N57" s="51"/>
      <c r="O57" s="51"/>
      <c r="P57" s="153">
        <v>2069859</v>
      </c>
      <c r="Q57" s="153">
        <v>1842670</v>
      </c>
      <c r="R57" s="36">
        <v>327574</v>
      </c>
      <c r="S57" s="2">
        <v>1539954</v>
      </c>
      <c r="T57" s="153">
        <v>509915</v>
      </c>
      <c r="U57" s="68">
        <f>+[12]EjecucionPptalPasiva!$Q$221</f>
        <v>4331103</v>
      </c>
      <c r="V57" s="153">
        <v>1142660</v>
      </c>
      <c r="W57" s="20"/>
      <c r="X57" s="20"/>
      <c r="Y57" s="20"/>
      <c r="Z57" s="20"/>
    </row>
    <row r="58" spans="1:26" x14ac:dyDescent="0.25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34"/>
      <c r="Q58" s="40"/>
      <c r="R58" s="36"/>
      <c r="S58" s="2"/>
      <c r="T58" s="37"/>
      <c r="V58" s="20"/>
      <c r="W58" s="20"/>
      <c r="X58" s="20"/>
      <c r="Y58" s="20"/>
      <c r="Z58" s="20"/>
    </row>
    <row r="59" spans="1:26" x14ac:dyDescent="0.25">
      <c r="A59" s="12" t="s">
        <v>13</v>
      </c>
      <c r="B59" s="8">
        <f>+B42+B28+B17+B16</f>
        <v>1742131668</v>
      </c>
      <c r="C59" s="8">
        <f>+C42+C28+C17+C16</f>
        <v>97230164</v>
      </c>
      <c r="D59" s="8">
        <f>+D42+D28+D17+D16</f>
        <v>102431664</v>
      </c>
      <c r="E59" s="8">
        <f>+E42+E28+E17+E16</f>
        <v>164792664</v>
      </c>
      <c r="F59" s="8">
        <f t="shared" ref="F59:V59" si="17">+F42+F28+F17+F16</f>
        <v>161331664</v>
      </c>
      <c r="G59" s="8">
        <f>+G42+G28+G17+G16</f>
        <v>171668664</v>
      </c>
      <c r="H59" s="8">
        <f t="shared" si="17"/>
        <v>154607664</v>
      </c>
      <c r="I59" s="8">
        <f t="shared" si="17"/>
        <v>147592664</v>
      </c>
      <c r="J59" s="8">
        <f t="shared" si="17"/>
        <v>173123664</v>
      </c>
      <c r="K59" s="8">
        <f t="shared" si="17"/>
        <v>143123664</v>
      </c>
      <c r="L59" s="8">
        <f t="shared" si="17"/>
        <v>165623664</v>
      </c>
      <c r="M59" s="8">
        <f t="shared" si="17"/>
        <v>135623664</v>
      </c>
      <c r="N59" s="8">
        <f t="shared" si="17"/>
        <v>142123664</v>
      </c>
      <c r="O59" s="8">
        <f t="shared" si="17"/>
        <v>1856014468</v>
      </c>
      <c r="P59" s="8">
        <f t="shared" si="17"/>
        <v>7381948</v>
      </c>
      <c r="Q59" s="8">
        <f t="shared" si="17"/>
        <v>41248399</v>
      </c>
      <c r="R59" s="8">
        <f t="shared" si="17"/>
        <v>21475254</v>
      </c>
      <c r="S59" s="8">
        <f t="shared" si="17"/>
        <v>44432991</v>
      </c>
      <c r="T59" s="8">
        <f t="shared" si="17"/>
        <v>15192645</v>
      </c>
      <c r="U59" s="8">
        <f>+U42+U28+U17+U16</f>
        <v>131341049</v>
      </c>
      <c r="V59" s="8">
        <f t="shared" si="17"/>
        <v>25730238</v>
      </c>
      <c r="W59" s="20"/>
      <c r="X59" s="20"/>
    </row>
    <row r="60" spans="1:26" x14ac:dyDescent="0.25">
      <c r="A60" s="5" t="s">
        <v>35</v>
      </c>
      <c r="B60" s="4">
        <f>+[7]Ppto!$H$64</f>
        <v>51015178.440000013</v>
      </c>
      <c r="C60" s="27">
        <f>+B60/12</f>
        <v>4251264.870000001</v>
      </c>
      <c r="D60" s="4">
        <f>+C60</f>
        <v>4251264.870000001</v>
      </c>
      <c r="E60" s="4">
        <f>+D60</f>
        <v>4251264.870000001</v>
      </c>
      <c r="F60" s="118">
        <f>+E60</f>
        <v>4251264.870000001</v>
      </c>
      <c r="G60" s="88">
        <f>+F60</f>
        <v>4251264.870000001</v>
      </c>
      <c r="H60" s="46">
        <f t="shared" ref="H60:O60" si="18">+G60</f>
        <v>4251264.870000001</v>
      </c>
      <c r="I60" s="46">
        <f t="shared" si="18"/>
        <v>4251264.870000001</v>
      </c>
      <c r="J60" s="46">
        <f t="shared" si="18"/>
        <v>4251264.870000001</v>
      </c>
      <c r="K60" s="46">
        <f t="shared" si="18"/>
        <v>4251264.870000001</v>
      </c>
      <c r="L60" s="46">
        <f t="shared" si="18"/>
        <v>4251264.870000001</v>
      </c>
      <c r="M60" s="46">
        <f t="shared" si="18"/>
        <v>4251264.870000001</v>
      </c>
      <c r="N60" s="46">
        <f t="shared" si="18"/>
        <v>4251264.870000001</v>
      </c>
      <c r="O60" s="46">
        <f t="shared" si="18"/>
        <v>4251264.870000001</v>
      </c>
      <c r="P60" s="34"/>
      <c r="Q60" s="40"/>
      <c r="R60" s="38"/>
      <c r="S60" s="2"/>
      <c r="U60" s="68">
        <f>+[10]Resultados!$H$27</f>
        <v>4262650</v>
      </c>
      <c r="V60" s="20"/>
      <c r="W60" s="20"/>
      <c r="X60" s="20"/>
    </row>
    <row r="61" spans="1:26" x14ac:dyDescent="0.25">
      <c r="A61" s="5" t="s">
        <v>14</v>
      </c>
      <c r="B61" s="4">
        <v>41029300</v>
      </c>
      <c r="C61" s="4">
        <f>287500+([7]Ppto!$Y$97*5/100)</f>
        <v>587500</v>
      </c>
      <c r="D61" s="4">
        <f>+'[14]Hoja de W esta'!K154+([8]Ppto!$J$97*0.5%)+([8]Ppto!$J$98*1.5%)</f>
        <v>277500</v>
      </c>
      <c r="E61" s="115">
        <f>+'[14]Hoja de W esta'!L154+([8]Ppto!$J$97*0.5%)+([8]Ppto!$J$98*1.5%)</f>
        <v>277500</v>
      </c>
      <c r="F61" s="115">
        <f>+'[14]Hoja de W esta'!M154+([8]Ppto!$J$97*0.5%)+([8]Ppto!$J$98*1.5%)</f>
        <v>277500</v>
      </c>
      <c r="G61" s="88">
        <f>+'[14]Hoja de W esta'!N154+([8]Ppto!M97*0.5%)+([8]Ppto!M98*1.5%)</f>
        <v>180000</v>
      </c>
      <c r="H61" s="46">
        <f>+'[14]Hoja de W esta'!O154+([8]Ppto!N97*0.5%)+([8]Ppto!N98*1.5%)</f>
        <v>277500</v>
      </c>
      <c r="I61" s="46">
        <f>+'[14]Hoja de W esta'!P154+([8]Ppto!O97*0.5%)+([8]Ppto!O98*1.5%)+[8]Ppto!O121</f>
        <v>330000</v>
      </c>
      <c r="J61" s="116">
        <f>+'[11]Planeación 2025 P&amp;K (def Mod1)'!P156</f>
        <v>150000</v>
      </c>
      <c r="K61" s="116">
        <f>+'[11]Planeación 2025 P&amp;K (def Mod1)'!Q156</f>
        <v>150000</v>
      </c>
      <c r="L61" s="4">
        <f>+'[11]Planeación 2025 P&amp;K (def Mod1)'!$R$156</f>
        <v>150000</v>
      </c>
      <c r="M61" s="4">
        <f>+'[11]Planeación 2025 P&amp;K (def Mod1)'!$T$156</f>
        <v>150000</v>
      </c>
      <c r="N61" s="4">
        <f>+'[11]Planeación 2025 P&amp;K (def Mod1)'!$T$156</f>
        <v>150000</v>
      </c>
      <c r="O61" s="4">
        <f>SUM(C61:N61)-18000000</f>
        <v>-15042500</v>
      </c>
      <c r="P61" s="34"/>
      <c r="Q61" s="40"/>
      <c r="R61" s="38">
        <v>101403</v>
      </c>
      <c r="S61" s="2"/>
      <c r="U61" s="68">
        <f>+[12]EjecucionPptalPasiva!$Q$228+[12]EjecucionPptalPasiva!$Q$229</f>
        <v>1038312</v>
      </c>
      <c r="V61" s="20">
        <f>1485000+33050</f>
        <v>1518050</v>
      </c>
      <c r="W61" s="20"/>
      <c r="X61" s="20"/>
    </row>
    <row r="62" spans="1:26" x14ac:dyDescent="0.25">
      <c r="A62" s="12" t="s">
        <v>15</v>
      </c>
      <c r="B62" s="8">
        <f>SUM(B60:B61)</f>
        <v>92044478.440000013</v>
      </c>
      <c r="C62" s="8">
        <f>SUM(C60:C61)</f>
        <v>4838764.870000001</v>
      </c>
      <c r="D62" s="8">
        <f>SUM(D60:D61)</f>
        <v>4528764.870000001</v>
      </c>
      <c r="E62" s="8">
        <f t="shared" ref="E62:V62" si="19">SUM(E60:E61)</f>
        <v>4528764.870000001</v>
      </c>
      <c r="F62" s="8">
        <f>SUM(F60:F61)</f>
        <v>4528764.870000001</v>
      </c>
      <c r="G62" s="8">
        <f t="shared" si="19"/>
        <v>4431264.870000001</v>
      </c>
      <c r="H62" s="8">
        <f t="shared" si="19"/>
        <v>4528764.870000001</v>
      </c>
      <c r="I62" s="8">
        <f t="shared" si="19"/>
        <v>4581264.870000001</v>
      </c>
      <c r="J62" s="8">
        <f t="shared" si="19"/>
        <v>4401264.870000001</v>
      </c>
      <c r="K62" s="8">
        <f t="shared" si="19"/>
        <v>4401264.870000001</v>
      </c>
      <c r="L62" s="8">
        <f t="shared" si="19"/>
        <v>4401264.870000001</v>
      </c>
      <c r="M62" s="8">
        <f t="shared" si="19"/>
        <v>4401264.870000001</v>
      </c>
      <c r="N62" s="8">
        <f t="shared" si="19"/>
        <v>4401264.870000001</v>
      </c>
      <c r="O62" s="8">
        <f t="shared" si="19"/>
        <v>-10791235.129999999</v>
      </c>
      <c r="P62" s="8">
        <f t="shared" si="19"/>
        <v>0</v>
      </c>
      <c r="Q62" s="8">
        <f t="shared" si="19"/>
        <v>0</v>
      </c>
      <c r="R62" s="8">
        <f t="shared" si="19"/>
        <v>101403</v>
      </c>
      <c r="S62" s="8">
        <f t="shared" si="19"/>
        <v>0</v>
      </c>
      <c r="T62" s="8">
        <f t="shared" si="19"/>
        <v>0</v>
      </c>
      <c r="U62" s="8">
        <f t="shared" si="19"/>
        <v>5300962</v>
      </c>
      <c r="V62" s="8">
        <f t="shared" si="19"/>
        <v>1518050</v>
      </c>
      <c r="W62" s="20"/>
      <c r="X62" s="20"/>
    </row>
    <row r="63" spans="1:26" x14ac:dyDescent="0.25">
      <c r="A63" s="12" t="s">
        <v>1</v>
      </c>
      <c r="B63" s="8">
        <f>+B62+B59</f>
        <v>1834176146.4400001</v>
      </c>
      <c r="C63" s="8">
        <f>+C62+C59</f>
        <v>102068928.87</v>
      </c>
      <c r="D63" s="8">
        <f>+D62+D59</f>
        <v>106960428.87</v>
      </c>
      <c r="E63" s="8">
        <f t="shared" ref="E63:V63" si="20">+E62+E59</f>
        <v>169321428.87</v>
      </c>
      <c r="F63" s="8">
        <f>+F62+F59</f>
        <v>165860428.87</v>
      </c>
      <c r="G63" s="8">
        <f t="shared" si="20"/>
        <v>176099928.87</v>
      </c>
      <c r="H63" s="8">
        <f t="shared" si="20"/>
        <v>159136428.87</v>
      </c>
      <c r="I63" s="8">
        <f t="shared" si="20"/>
        <v>152173928.87</v>
      </c>
      <c r="J63" s="8">
        <f t="shared" si="20"/>
        <v>177524928.87</v>
      </c>
      <c r="K63" s="8">
        <f t="shared" si="20"/>
        <v>147524928.87</v>
      </c>
      <c r="L63" s="8">
        <f t="shared" si="20"/>
        <v>170024928.87</v>
      </c>
      <c r="M63" s="8">
        <f t="shared" si="20"/>
        <v>140024928.87</v>
      </c>
      <c r="N63" s="8">
        <f t="shared" si="20"/>
        <v>146524928.87</v>
      </c>
      <c r="O63" s="8">
        <f t="shared" si="20"/>
        <v>1845223232.8699999</v>
      </c>
      <c r="P63" s="8">
        <f t="shared" si="20"/>
        <v>7381948</v>
      </c>
      <c r="Q63" s="8">
        <f t="shared" si="20"/>
        <v>41248399</v>
      </c>
      <c r="R63" s="8">
        <f t="shared" si="20"/>
        <v>21576657</v>
      </c>
      <c r="S63" s="8">
        <f t="shared" si="20"/>
        <v>44432991</v>
      </c>
      <c r="T63" s="8">
        <f t="shared" si="20"/>
        <v>15192645</v>
      </c>
      <c r="U63" s="8">
        <f t="shared" si="20"/>
        <v>136642011</v>
      </c>
      <c r="V63" s="8">
        <f t="shared" si="20"/>
        <v>27248288</v>
      </c>
      <c r="W63" s="20"/>
      <c r="X63" s="20"/>
    </row>
    <row r="64" spans="1:26" ht="15.75" thickBot="1" x14ac:dyDescent="0.3">
      <c r="A64" s="22" t="s">
        <v>58</v>
      </c>
      <c r="B64" s="4">
        <f>+[7]Ppto!$H$77</f>
        <v>1451607000</v>
      </c>
      <c r="C64" s="4">
        <f>+B64/12</f>
        <v>120967250</v>
      </c>
      <c r="D64" s="4">
        <f>+C64</f>
        <v>120967250</v>
      </c>
      <c r="E64" s="4">
        <f>+D64</f>
        <v>120967250</v>
      </c>
      <c r="F64" s="4">
        <f t="shared" ref="F64:O64" si="21">+E64</f>
        <v>120967250</v>
      </c>
      <c r="G64" s="88">
        <f>+F64</f>
        <v>120967250</v>
      </c>
      <c r="H64" s="46">
        <f>+G64</f>
        <v>120967250</v>
      </c>
      <c r="I64" s="46">
        <f t="shared" si="21"/>
        <v>120967250</v>
      </c>
      <c r="J64" s="46">
        <f t="shared" si="21"/>
        <v>120967250</v>
      </c>
      <c r="K64" s="46">
        <f t="shared" si="21"/>
        <v>120967250</v>
      </c>
      <c r="L64" s="46">
        <f t="shared" si="21"/>
        <v>120967250</v>
      </c>
      <c r="M64" s="46">
        <f t="shared" si="21"/>
        <v>120967250</v>
      </c>
      <c r="N64" s="46">
        <f t="shared" si="21"/>
        <v>120967250</v>
      </c>
      <c r="O64" s="46">
        <f t="shared" si="21"/>
        <v>120967250</v>
      </c>
      <c r="P64" s="34"/>
      <c r="Q64" s="40"/>
      <c r="R64" s="38"/>
      <c r="S64" s="2"/>
      <c r="T64" s="37"/>
      <c r="U64" s="68">
        <f>+[10]Resultados!$H$41-[10]Resultados!$H$59</f>
        <v>109832411</v>
      </c>
      <c r="V64" s="20"/>
      <c r="W64" s="20"/>
      <c r="X64" s="20"/>
    </row>
    <row r="65" spans="1:23" ht="45.75" thickBot="1" x14ac:dyDescent="0.3">
      <c r="A65" s="21" t="s">
        <v>65</v>
      </c>
      <c r="B65" s="4"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>
        <f t="shared" ref="O64:O160" si="22">SUM(C65:N65)</f>
        <v>0</v>
      </c>
      <c r="P65" s="34"/>
      <c r="Q65" s="40"/>
      <c r="R65" s="38"/>
      <c r="S65" s="2"/>
      <c r="T65" s="37"/>
      <c r="U65" s="68">
        <f>+[12]EjecucionPptalPasiva!$Q$231</f>
        <v>13520599</v>
      </c>
      <c r="V65" s="183">
        <v>11777290</v>
      </c>
    </row>
    <row r="66" spans="1:23" x14ac:dyDescent="0.25">
      <c r="A66" s="54" t="s">
        <v>16</v>
      </c>
      <c r="B66" s="10">
        <f>+B67</f>
        <v>12000000</v>
      </c>
      <c r="C66" s="10">
        <f>+C67</f>
        <v>0</v>
      </c>
      <c r="D66" s="10">
        <f t="shared" ref="D66:U66" si="23">+D67</f>
        <v>0</v>
      </c>
      <c r="E66" s="10">
        <f t="shared" si="23"/>
        <v>0</v>
      </c>
      <c r="F66" s="10">
        <f t="shared" si="23"/>
        <v>0</v>
      </c>
      <c r="G66" s="10">
        <f>+G67</f>
        <v>0</v>
      </c>
      <c r="H66" s="10">
        <f t="shared" si="23"/>
        <v>0</v>
      </c>
      <c r="I66" s="10">
        <f t="shared" si="23"/>
        <v>0</v>
      </c>
      <c r="J66" s="10">
        <f t="shared" si="23"/>
        <v>0</v>
      </c>
      <c r="K66" s="10">
        <f t="shared" si="23"/>
        <v>0</v>
      </c>
      <c r="L66" s="10">
        <f t="shared" si="23"/>
        <v>6000000</v>
      </c>
      <c r="M66" s="10">
        <f t="shared" si="23"/>
        <v>0</v>
      </c>
      <c r="N66" s="10">
        <f t="shared" si="23"/>
        <v>0</v>
      </c>
      <c r="O66" s="10">
        <f t="shared" si="23"/>
        <v>-12041424</v>
      </c>
      <c r="P66" s="10">
        <f t="shared" si="23"/>
        <v>0</v>
      </c>
      <c r="Q66" s="10">
        <f t="shared" si="23"/>
        <v>0</v>
      </c>
      <c r="R66" s="10">
        <f t="shared" si="23"/>
        <v>0</v>
      </c>
      <c r="S66" s="10">
        <f t="shared" si="23"/>
        <v>0</v>
      </c>
      <c r="T66" s="10">
        <f t="shared" si="23"/>
        <v>0</v>
      </c>
      <c r="U66" s="10">
        <f t="shared" si="23"/>
        <v>0</v>
      </c>
      <c r="V66" s="10">
        <f>+V67</f>
        <v>0</v>
      </c>
    </row>
    <row r="67" spans="1:23" ht="75" x14ac:dyDescent="0.25">
      <c r="A67" s="21" t="s">
        <v>145</v>
      </c>
      <c r="B67" s="115">
        <f>+[13]EjecucionPptalPasiva!$D$268</f>
        <v>12000000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84">
        <f>+'[11]Planeación 2025 P&amp;K (def Mod1)'!$R$34</f>
        <v>6000000</v>
      </c>
      <c r="M67" s="4">
        <v>0</v>
      </c>
      <c r="N67" s="51">
        <v>0</v>
      </c>
      <c r="O67" s="4">
        <f>SUM(C67:N67)-18041424</f>
        <v>-12041424</v>
      </c>
      <c r="P67" s="34"/>
      <c r="Q67" s="40"/>
      <c r="R67" s="38"/>
      <c r="S67" s="2"/>
      <c r="T67" s="2"/>
      <c r="V67" s="20"/>
    </row>
    <row r="68" spans="1:23" x14ac:dyDescent="0.25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34"/>
      <c r="Q68" s="40"/>
      <c r="R68" s="38"/>
      <c r="S68" s="2"/>
      <c r="T68" s="2"/>
      <c r="V68" s="20"/>
    </row>
    <row r="69" spans="1:23" ht="15.75" thickBot="1" x14ac:dyDescent="0.3">
      <c r="A69" s="54" t="s">
        <v>17</v>
      </c>
      <c r="B69" s="10">
        <f>SUM(B70:B72)</f>
        <v>622200000</v>
      </c>
      <c r="C69" s="10">
        <f>SUM(C70:C72)</f>
        <v>51850000</v>
      </c>
      <c r="D69" s="10">
        <f t="shared" ref="D69:M69" si="24">SUM(D70:D72)</f>
        <v>51850000</v>
      </c>
      <c r="E69" s="10">
        <f>SUM(E70:E72)</f>
        <v>51850000</v>
      </c>
      <c r="F69" s="10">
        <f t="shared" si="24"/>
        <v>51850000</v>
      </c>
      <c r="G69" s="10">
        <f t="shared" si="24"/>
        <v>51850000</v>
      </c>
      <c r="H69" s="10">
        <f>SUM(H70:H72)</f>
        <v>51850000</v>
      </c>
      <c r="I69" s="10">
        <f>SUM(I70:I72)</f>
        <v>51850000</v>
      </c>
      <c r="J69" s="10">
        <f t="shared" si="24"/>
        <v>52200000</v>
      </c>
      <c r="K69" s="10">
        <f t="shared" si="24"/>
        <v>53400000</v>
      </c>
      <c r="L69" s="10">
        <f t="shared" si="24"/>
        <v>52200000</v>
      </c>
      <c r="M69" s="10">
        <f t="shared" si="24"/>
        <v>52200000</v>
      </c>
      <c r="N69" s="10">
        <f>SUM(N70:N72)</f>
        <v>52200000</v>
      </c>
      <c r="O69" s="10">
        <f>SUM(O70:O72)-33162000</f>
        <v>575945224</v>
      </c>
      <c r="P69" s="10">
        <f>SUM(P70:P72)</f>
        <v>50944000</v>
      </c>
      <c r="Q69" s="10">
        <f>SUM(Q70:Q72)</f>
        <v>46820000</v>
      </c>
      <c r="R69" s="10">
        <f t="shared" ref="R69:T69" si="25">SUM(R70:R72)</f>
        <v>50930300</v>
      </c>
      <c r="S69" s="10">
        <f t="shared" si="25"/>
        <v>50630000</v>
      </c>
      <c r="T69" s="10">
        <f t="shared" si="25"/>
        <v>50590000</v>
      </c>
      <c r="U69" s="10">
        <f>SUM(U70:U72)</f>
        <v>12450300</v>
      </c>
      <c r="V69" s="10">
        <f>SUM(V70:V72)</f>
        <v>132640000</v>
      </c>
    </row>
    <row r="70" spans="1:23" ht="60.75" thickBot="1" x14ac:dyDescent="0.3">
      <c r="A70" s="53" t="s">
        <v>138</v>
      </c>
      <c r="B70" s="115">
        <f>+[13]EjecucionPptalPasiva!$D$301</f>
        <v>480000000</v>
      </c>
      <c r="C70" s="4">
        <f>+[7]Ppto!Y141</f>
        <v>40000000</v>
      </c>
      <c r="D70" s="4">
        <f>+[7]Ppto!Z141</f>
        <v>40000000</v>
      </c>
      <c r="E70" s="4">
        <f>+[7]Ppto!AA141</f>
        <v>40000000</v>
      </c>
      <c r="F70" s="118">
        <f>+[7]Ppto!AB141</f>
        <v>40000000</v>
      </c>
      <c r="G70" s="88">
        <f>+[7]Ppto!AC141</f>
        <v>40000000</v>
      </c>
      <c r="H70" s="46">
        <f>+[7]Ppto!AD141</f>
        <v>40000000</v>
      </c>
      <c r="I70" s="46">
        <f>+[7]Ppto!AE141</f>
        <v>40000000</v>
      </c>
      <c r="J70" s="117">
        <f>+'[11]Planeación 2025 P&amp;K (def Mod1)'!P26</f>
        <v>40000000</v>
      </c>
      <c r="K70" s="128">
        <f>+'[11]Planeación 2025 P&amp;K (def Mod1)'!Q26</f>
        <v>40000000</v>
      </c>
      <c r="L70" s="84">
        <f>+'[11]Planeación 2025 P&amp;K (def Mod1)'!$R$26</f>
        <v>40000000</v>
      </c>
      <c r="M70" s="4">
        <f>+'[11]Planeación 2025 P&amp;K (def Mod1)'!$S$26+'[11]Planeación 2025 P&amp;K (def Mod1)'!$T$28</f>
        <v>52200000</v>
      </c>
      <c r="N70" s="143">
        <f>+'[11]Planeación 2025 P&amp;K (def Mod1)'!$S$26+'[11]Planeación 2025 P&amp;K (def Mod1)'!$T$28</f>
        <v>52200000</v>
      </c>
      <c r="O70" s="4">
        <f t="shared" si="22"/>
        <v>504400000</v>
      </c>
      <c r="P70" s="153">
        <v>50944000</v>
      </c>
      <c r="Q70" s="153">
        <v>46820000</v>
      </c>
      <c r="R70" s="38">
        <v>49820000</v>
      </c>
      <c r="S70" s="2">
        <v>50630000</v>
      </c>
      <c r="T70" s="153">
        <v>50590000</v>
      </c>
      <c r="V70" s="153">
        <v>59900000</v>
      </c>
    </row>
    <row r="71" spans="1:23" ht="15.75" thickBot="1" x14ac:dyDescent="0.3">
      <c r="A71" s="53" t="s">
        <v>216</v>
      </c>
      <c r="B71" s="115"/>
      <c r="C71" s="148"/>
      <c r="D71" s="148"/>
      <c r="E71" s="167"/>
      <c r="F71" s="148"/>
      <c r="G71" s="148"/>
      <c r="H71" s="168"/>
      <c r="I71" s="168"/>
      <c r="J71" s="117"/>
      <c r="K71" s="128"/>
      <c r="L71" s="167"/>
      <c r="M71" s="148"/>
      <c r="N71" s="169"/>
      <c r="O71" s="4"/>
      <c r="P71" s="170"/>
      <c r="Q71" s="170"/>
      <c r="R71" s="38">
        <v>1110300</v>
      </c>
      <c r="S71" s="2"/>
      <c r="T71" s="2"/>
      <c r="U71" s="68">
        <f>+[12]EjecucionPptalPasiva!$Q$272</f>
        <v>1110300</v>
      </c>
      <c r="V71" s="20"/>
    </row>
    <row r="72" spans="1:23" ht="48.75" thickBot="1" x14ac:dyDescent="0.3">
      <c r="A72" s="53" t="s">
        <v>141</v>
      </c>
      <c r="B72" s="115">
        <f>+[13]EjecucionPptalPasiva!$D$300</f>
        <v>142200000</v>
      </c>
      <c r="C72" s="79">
        <f>+[7]Ppto!Y144</f>
        <v>11850000</v>
      </c>
      <c r="D72" s="79">
        <f>+[7]Ppto!Z144</f>
        <v>11850000</v>
      </c>
      <c r="E72" s="79">
        <f>+[7]Ppto!AA144</f>
        <v>11850000</v>
      </c>
      <c r="F72" s="172">
        <f>+[7]Ppto!AB144</f>
        <v>11850000</v>
      </c>
      <c r="G72" s="91">
        <f>+[7]Ppto!AC144</f>
        <v>11850000</v>
      </c>
      <c r="H72" s="128">
        <f>+[7]Ppto!AD144</f>
        <v>11850000</v>
      </c>
      <c r="I72" s="46">
        <f>+[8]Ppto!O144</f>
        <v>11850000</v>
      </c>
      <c r="J72" s="117">
        <f>+'[11]Planeación 2025 P&amp;K (def Mod1)'!$O$28</f>
        <v>12200000</v>
      </c>
      <c r="K72" s="128">
        <f>+'[11]Planeación 2025 P&amp;K (def Mod1)'!$O$28+'[11]Planeación 2025 P&amp;K (def Mod1)'!$Q$30</f>
        <v>13400000</v>
      </c>
      <c r="L72" s="101">
        <f>+'[11]Planeación 2025 P&amp;K (def Mod1)'!$R$28</f>
        <v>12200000</v>
      </c>
      <c r="M72" s="60">
        <v>0</v>
      </c>
      <c r="N72" s="144">
        <v>0</v>
      </c>
      <c r="O72" s="4">
        <f>SUM(C72:N72)-16042776</f>
        <v>104707224</v>
      </c>
      <c r="P72" s="34"/>
      <c r="Q72" s="40"/>
      <c r="R72" s="38"/>
      <c r="S72" s="2"/>
      <c r="T72" s="2"/>
      <c r="U72" s="68">
        <f>+[12]EjecucionPptalPasiva!$Q$270</f>
        <v>11340000</v>
      </c>
      <c r="V72" s="153">
        <v>72740000</v>
      </c>
      <c r="W72" s="153"/>
    </row>
    <row r="73" spans="1:23" x14ac:dyDescent="0.25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34"/>
      <c r="Q73" s="40"/>
      <c r="R73" s="38"/>
      <c r="S73" s="2"/>
      <c r="T73" s="2"/>
      <c r="V73" s="20"/>
    </row>
    <row r="74" spans="1:23" ht="15.75" thickBot="1" x14ac:dyDescent="0.3">
      <c r="A74" s="54" t="s">
        <v>7</v>
      </c>
      <c r="B74" s="10">
        <f>SUM(B75:B87)</f>
        <v>288200000</v>
      </c>
      <c r="C74" s="10">
        <f>SUM(C75:C87)</f>
        <v>13400000</v>
      </c>
      <c r="D74" s="10">
        <f t="shared" ref="D74:T74" si="26">SUM(D75:D87)</f>
        <v>13400000</v>
      </c>
      <c r="E74" s="10">
        <f t="shared" si="26"/>
        <v>32400000</v>
      </c>
      <c r="F74" s="10">
        <f>SUM(F75:F87)</f>
        <v>33400000</v>
      </c>
      <c r="G74" s="10">
        <f>SUM(G75:G87)</f>
        <v>21400000</v>
      </c>
      <c r="H74" s="10">
        <f>SUM(H75:H87)</f>
        <v>26400000</v>
      </c>
      <c r="I74" s="10">
        <f>SUM(I75:I87)</f>
        <v>15876000</v>
      </c>
      <c r="J74" s="10">
        <f t="shared" si="26"/>
        <v>32200000</v>
      </c>
      <c r="K74" s="10">
        <f>SUM(K75:K87)</f>
        <v>12500000</v>
      </c>
      <c r="L74" s="10">
        <f t="shared" si="26"/>
        <v>31700000</v>
      </c>
      <c r="M74" s="10">
        <f>SUM(M75:M87)</f>
        <v>13700000</v>
      </c>
      <c r="N74" s="10">
        <f t="shared" si="26"/>
        <v>18500000</v>
      </c>
      <c r="O74" s="10">
        <f t="shared" si="26"/>
        <v>80710875.099999994</v>
      </c>
      <c r="P74" s="10">
        <f t="shared" si="26"/>
        <v>7587919</v>
      </c>
      <c r="Q74" s="10">
        <f t="shared" si="26"/>
        <v>10463119</v>
      </c>
      <c r="R74" s="10">
        <f t="shared" si="26"/>
        <v>7587919</v>
      </c>
      <c r="S74" s="10">
        <f t="shared" si="26"/>
        <v>2875000</v>
      </c>
      <c r="T74" s="10">
        <f t="shared" si="26"/>
        <v>20925838</v>
      </c>
      <c r="U74" s="10">
        <f>SUM(U75:U87)</f>
        <v>0</v>
      </c>
      <c r="V74" s="10">
        <f>SUM(V75:V87)</f>
        <v>26382334</v>
      </c>
    </row>
    <row r="75" spans="1:23" ht="48.75" thickBot="1" x14ac:dyDescent="0.3">
      <c r="A75" s="57" t="s">
        <v>139</v>
      </c>
      <c r="B75" s="115">
        <f>+[13]EjecucionPptalPasiva!$D$267+[13]EjecucionPptalPasiva!$D$296</f>
        <v>115400000</v>
      </c>
      <c r="C75" s="4">
        <f>+'[14]Ppto2025 P&amp;K Original'!$J$25</f>
        <v>0</v>
      </c>
      <c r="D75" s="4">
        <v>0</v>
      </c>
      <c r="E75" s="84">
        <v>6000000</v>
      </c>
      <c r="F75" s="118">
        <f>+[8]Ppto!L151</f>
        <v>7000000</v>
      </c>
      <c r="G75" s="118">
        <v>0</v>
      </c>
      <c r="H75" s="46">
        <f>+[8]Ppto!N147</f>
        <v>5000000</v>
      </c>
      <c r="I75" s="46">
        <f>+[8]Ppto!O147</f>
        <v>0</v>
      </c>
      <c r="J75" s="118">
        <f>+'[11]Planeación 2025 P&amp;K (def Mod1)'!$O$30+'[11]Planeación 2025 P&amp;K (def Mod1)'!O27</f>
        <v>7200000</v>
      </c>
      <c r="K75" s="46">
        <f>+'[11]Planeación 2025 P&amp;K (def Mod1)'!$Q$27</f>
        <v>6000000</v>
      </c>
      <c r="L75" s="84">
        <f>+'[11]Planeación 2025 P&amp;K (def Mod1)'!$R$27+'[11]Planeación 2025 P&amp;K (def Mod1)'!$R$29+'[11]Planeación 2025 P&amp;K (def Mod1)'!$R$30</f>
        <v>25200000</v>
      </c>
      <c r="M75" s="4">
        <f>+'[11]Planeación 2025 P&amp;K (def Mod1)'!$T$27+'[11]Planeación 2025 P&amp;K (def Mod1)'!$T$30</f>
        <v>7200000</v>
      </c>
      <c r="N75" s="4">
        <v>0</v>
      </c>
      <c r="O75" s="4">
        <f>SUM(C75:N75)-56900000</f>
        <v>6700000</v>
      </c>
      <c r="P75" s="34"/>
      <c r="Q75" s="40"/>
      <c r="R75" s="38"/>
      <c r="S75" s="2"/>
      <c r="T75" s="2"/>
      <c r="V75" s="183">
        <f>1415390+3643496</f>
        <v>5058886</v>
      </c>
      <c r="W75" s="183"/>
    </row>
    <row r="76" spans="1:23" x14ac:dyDescent="0.25">
      <c r="A76" s="53" t="s">
        <v>216</v>
      </c>
      <c r="B76" s="115">
        <f>+[13]EjecucionPptalPasiva!$D$299</f>
        <v>6000000</v>
      </c>
      <c r="C76" s="119">
        <f>+[7]Ppto!$Y$91</f>
        <v>2000000</v>
      </c>
      <c r="D76" s="51">
        <f>+[8]Ppto!J91</f>
        <v>2000000</v>
      </c>
      <c r="E76" s="51">
        <f>+[8]Ppto!K91</f>
        <v>0</v>
      </c>
      <c r="F76" s="4">
        <f>1000000-1000000</f>
        <v>0</v>
      </c>
      <c r="G76" s="4">
        <f>1000000-1000000</f>
        <v>0</v>
      </c>
      <c r="H76" s="4">
        <v>0</v>
      </c>
      <c r="I76" s="4">
        <v>0</v>
      </c>
      <c r="J76" s="88">
        <v>0</v>
      </c>
      <c r="K76" s="4">
        <v>0</v>
      </c>
      <c r="L76" s="84">
        <f t="shared" ref="L76:M76" si="27">+K76</f>
        <v>0</v>
      </c>
      <c r="M76" s="4">
        <f t="shared" si="27"/>
        <v>0</v>
      </c>
      <c r="N76" s="143">
        <f>+'[11]Planeación 2025 P&amp;K (def Mod1)'!$T$25+'[11]Planeación 2025 P&amp;K (def Mod1)'!$T$27</f>
        <v>12000000</v>
      </c>
      <c r="O76" s="4">
        <f>SUM(C76:N76)-4700000</f>
        <v>11300000</v>
      </c>
      <c r="P76" s="34"/>
      <c r="Q76" s="40"/>
      <c r="R76" s="38"/>
      <c r="S76" s="2"/>
      <c r="T76" s="2"/>
      <c r="V76" s="20"/>
    </row>
    <row r="77" spans="1:23" x14ac:dyDescent="0.25">
      <c r="A77" s="57" t="s">
        <v>184</v>
      </c>
      <c r="B77" s="115">
        <f>+[13]EjecucionPptalPasiva!$D$266</f>
        <v>20000000</v>
      </c>
      <c r="C77" s="79">
        <v>0</v>
      </c>
      <c r="D77" s="79"/>
      <c r="E77" s="79">
        <v>0</v>
      </c>
      <c r="F77" s="79">
        <f>8000000-8000000</f>
        <v>0</v>
      </c>
      <c r="G77" s="79">
        <f>8000000-8000000</f>
        <v>0</v>
      </c>
      <c r="H77" s="60">
        <v>0</v>
      </c>
      <c r="I77" s="60">
        <v>0</v>
      </c>
      <c r="J77" s="117">
        <f>+'[11]Planeación 2025 P&amp;K (def Mod1)'!$M$31</f>
        <v>25000000</v>
      </c>
      <c r="K77" s="60">
        <v>0</v>
      </c>
      <c r="L77" s="60">
        <v>0</v>
      </c>
      <c r="M77" s="60">
        <v>0</v>
      </c>
      <c r="N77" s="60">
        <v>0</v>
      </c>
      <c r="O77" s="4">
        <f>SUM(C77:N77)-22000000</f>
        <v>3000000</v>
      </c>
      <c r="P77" s="34"/>
      <c r="Q77" s="40"/>
      <c r="R77" s="38"/>
      <c r="S77" s="2"/>
      <c r="T77" s="2"/>
      <c r="V77" s="20"/>
    </row>
    <row r="78" spans="1:23" ht="36.75" thickBot="1" x14ac:dyDescent="0.3">
      <c r="A78" s="57" t="s">
        <v>140</v>
      </c>
      <c r="B78" s="4">
        <v>0</v>
      </c>
      <c r="C78" s="60">
        <v>0</v>
      </c>
      <c r="D78" s="60">
        <v>0</v>
      </c>
      <c r="E78" s="60">
        <v>0</v>
      </c>
      <c r="F78" s="60"/>
      <c r="G78" s="60"/>
      <c r="H78" s="60">
        <v>0</v>
      </c>
      <c r="I78" s="60">
        <v>0</v>
      </c>
      <c r="J78" s="91">
        <v>0</v>
      </c>
      <c r="K78" s="60">
        <v>0</v>
      </c>
      <c r="L78" s="60">
        <v>0</v>
      </c>
      <c r="M78" s="60">
        <v>0</v>
      </c>
      <c r="N78" s="60">
        <v>0</v>
      </c>
      <c r="O78" s="4">
        <f>SUM(C78:N78)-8000000</f>
        <v>-8000000</v>
      </c>
      <c r="P78" s="34"/>
      <c r="Q78" s="40"/>
      <c r="R78" s="38"/>
      <c r="S78" s="2"/>
      <c r="T78" s="2"/>
      <c r="V78" s="20"/>
    </row>
    <row r="79" spans="1:23" ht="36.75" thickBot="1" x14ac:dyDescent="0.3">
      <c r="A79" s="57" t="s">
        <v>142</v>
      </c>
      <c r="B79" s="84">
        <v>0</v>
      </c>
      <c r="C79" s="4">
        <v>0</v>
      </c>
      <c r="D79" s="4"/>
      <c r="E79" s="4">
        <f>+[8]Ppto!$K$146</f>
        <v>15000000</v>
      </c>
      <c r="F79" s="118">
        <f>+[8]Ppto!K146</f>
        <v>15000000</v>
      </c>
      <c r="G79" s="88">
        <f>+[8]Ppto!M146</f>
        <v>0</v>
      </c>
      <c r="H79" s="46">
        <f>+[8]Ppto!N146</f>
        <v>10000000</v>
      </c>
      <c r="I79" s="46">
        <f>+[8]Ppto!$O$145+[8]Ppto!$O$152+[8]Ppto!$O$153</f>
        <v>4476000</v>
      </c>
      <c r="J79" s="4">
        <v>0</v>
      </c>
      <c r="K79" s="4">
        <v>0</v>
      </c>
      <c r="L79" s="84">
        <v>0</v>
      </c>
      <c r="M79" s="4">
        <v>0</v>
      </c>
      <c r="N79" s="4">
        <v>0</v>
      </c>
      <c r="O79" s="4">
        <f>SUM(C79:N79)-666664</f>
        <v>43809336</v>
      </c>
      <c r="P79" s="34"/>
      <c r="Q79" s="40"/>
      <c r="R79" s="38"/>
      <c r="S79" s="2"/>
      <c r="T79" s="2"/>
      <c r="V79" s="183">
        <v>397610</v>
      </c>
    </row>
    <row r="80" spans="1:23" ht="60" x14ac:dyDescent="0.25">
      <c r="A80" s="53" t="s">
        <v>143</v>
      </c>
      <c r="B80" s="4">
        <v>0</v>
      </c>
      <c r="C80" s="4">
        <v>0</v>
      </c>
      <c r="D80" s="4"/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88">
        <v>0</v>
      </c>
      <c r="K80" s="4">
        <v>0</v>
      </c>
      <c r="L80" s="84">
        <v>0</v>
      </c>
      <c r="M80" s="4">
        <v>0</v>
      </c>
      <c r="N80" s="4">
        <v>0</v>
      </c>
      <c r="O80" s="4">
        <f>SUM(C80:N80)-12000000</f>
        <v>-12000000</v>
      </c>
      <c r="P80" s="34"/>
      <c r="Q80" s="40"/>
      <c r="R80" s="38"/>
      <c r="S80" s="2"/>
      <c r="T80" s="2"/>
      <c r="V80" s="20"/>
    </row>
    <row r="81" spans="1:22" ht="60" x14ac:dyDescent="0.25">
      <c r="A81" s="53" t="s">
        <v>144</v>
      </c>
      <c r="B81" s="4">
        <v>0</v>
      </c>
      <c r="C81" s="60">
        <v>0</v>
      </c>
      <c r="D81" s="60">
        <v>0</v>
      </c>
      <c r="E81" s="60">
        <v>0</v>
      </c>
      <c r="F81" s="60">
        <v>0</v>
      </c>
      <c r="G81" s="91">
        <f>+[8]Ppto!M148</f>
        <v>10000000</v>
      </c>
      <c r="H81" s="91">
        <f>+[8]Ppto!N148</f>
        <v>0</v>
      </c>
      <c r="I81" s="4">
        <v>0</v>
      </c>
      <c r="J81" s="60">
        <v>0</v>
      </c>
      <c r="K81" s="4">
        <v>0</v>
      </c>
      <c r="L81" s="60">
        <v>0</v>
      </c>
      <c r="M81" s="60">
        <v>0</v>
      </c>
      <c r="N81" s="60">
        <v>0</v>
      </c>
      <c r="O81" s="4">
        <f>SUM(C81:N81)-60000000</f>
        <v>-50000000</v>
      </c>
      <c r="P81" s="34"/>
      <c r="Q81" s="40"/>
      <c r="R81" s="38"/>
      <c r="S81" s="2"/>
      <c r="T81" s="2"/>
      <c r="V81" s="20"/>
    </row>
    <row r="82" spans="1:22" ht="24.75" thickBot="1" x14ac:dyDescent="0.3">
      <c r="A82" s="57" t="s">
        <v>146</v>
      </c>
      <c r="B82" s="4">
        <v>0</v>
      </c>
      <c r="C82" s="60">
        <v>0</v>
      </c>
      <c r="D82" s="60">
        <v>0</v>
      </c>
      <c r="E82" s="4">
        <v>0</v>
      </c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4">
        <f t="shared" si="22"/>
        <v>0</v>
      </c>
      <c r="P82" s="34"/>
      <c r="Q82" s="40"/>
      <c r="R82" s="38"/>
      <c r="S82" s="2"/>
      <c r="T82" s="2"/>
      <c r="V82" s="20"/>
    </row>
    <row r="83" spans="1:22" ht="60.75" thickBot="1" x14ac:dyDescent="0.3">
      <c r="A83" s="53" t="s">
        <v>147</v>
      </c>
      <c r="B83" s="115">
        <f>+[13]EjecucionPptalPasiva!$D$298</f>
        <v>91200000</v>
      </c>
      <c r="C83" s="4">
        <f>+[7]Ppto!Y143</f>
        <v>7600000</v>
      </c>
      <c r="D83" s="4">
        <f>+[7]Ppto!Z143</f>
        <v>7600000</v>
      </c>
      <c r="E83" s="4">
        <f>+[7]Ppto!AA143</f>
        <v>7600000</v>
      </c>
      <c r="F83" s="118">
        <f>+[7]Ppto!AB143</f>
        <v>7600000</v>
      </c>
      <c r="G83" s="88">
        <f>+[7]Ppto!AC143</f>
        <v>7600000</v>
      </c>
      <c r="H83" s="46">
        <f>+[7]Ppto!AD143</f>
        <v>7600000</v>
      </c>
      <c r="I83" s="46">
        <f>+[7]Ppto!AE143</f>
        <v>7600000</v>
      </c>
      <c r="J83" s="88">
        <v>0</v>
      </c>
      <c r="K83" s="46">
        <f>+'[11]Planeación 2025 P&amp;K (def Mod1)'!$Q$33</f>
        <v>6500000</v>
      </c>
      <c r="L83" s="84">
        <f>+'[11]Planeación 2025 P&amp;K (def Mod1)'!$R$33</f>
        <v>6500000</v>
      </c>
      <c r="M83" s="4">
        <f>+'[11]Planeación 2025 P&amp;K (def Mod1)'!$T$33</f>
        <v>6500000</v>
      </c>
      <c r="N83" s="143">
        <f>+'[11]Planeación 2025 P&amp;K (def Mod1)'!$T$33</f>
        <v>6500000</v>
      </c>
      <c r="O83" s="4">
        <f>SUM(C83:N83)-13054960.9</f>
        <v>66145039.100000001</v>
      </c>
      <c r="P83" s="153">
        <v>7587919</v>
      </c>
      <c r="Q83" s="153">
        <v>7587919</v>
      </c>
      <c r="R83" s="38">
        <v>7587919</v>
      </c>
      <c r="S83" s="2"/>
      <c r="T83" s="153">
        <v>15175838</v>
      </c>
      <c r="V83" s="20"/>
    </row>
    <row r="84" spans="1:22" ht="36.75" thickBot="1" x14ac:dyDescent="0.3">
      <c r="A84" s="53" t="s">
        <v>148</v>
      </c>
      <c r="B84" s="4">
        <v>0</v>
      </c>
      <c r="C84" s="4"/>
      <c r="D84" s="4"/>
      <c r="E84" s="4"/>
      <c r="F84" s="4">
        <v>0</v>
      </c>
      <c r="G84" s="4">
        <v>0</v>
      </c>
      <c r="H84" s="4"/>
      <c r="I84" s="4">
        <v>0</v>
      </c>
      <c r="J84" s="4"/>
      <c r="K84" s="4"/>
      <c r="L84" s="84">
        <v>0</v>
      </c>
      <c r="M84" s="4"/>
      <c r="N84" s="4"/>
      <c r="O84" s="4">
        <f t="shared" si="22"/>
        <v>0</v>
      </c>
      <c r="P84" s="34"/>
      <c r="Q84" s="40"/>
      <c r="R84" s="38"/>
      <c r="S84" s="2"/>
      <c r="T84" s="2"/>
      <c r="V84" s="183">
        <v>15175838</v>
      </c>
    </row>
    <row r="85" spans="1:22" ht="15.75" thickBot="1" x14ac:dyDescent="0.3">
      <c r="P85" s="34"/>
      <c r="Q85" s="40"/>
      <c r="R85" s="38"/>
      <c r="S85" s="2"/>
      <c r="T85" s="2"/>
      <c r="V85" s="20"/>
    </row>
    <row r="86" spans="1:22" ht="48.75" thickBot="1" x14ac:dyDescent="0.3">
      <c r="A86" s="53" t="s">
        <v>150</v>
      </c>
      <c r="B86" s="115">
        <f>+[13]EjecucionPptalPasiva!$D$297</f>
        <v>45600000</v>
      </c>
      <c r="C86" s="4">
        <f>+[7]Ppto!Y142</f>
        <v>3800000</v>
      </c>
      <c r="D86" s="4">
        <f>+[7]Ppto!Z142</f>
        <v>3800000</v>
      </c>
      <c r="E86" s="4">
        <f>+[7]Ppto!AA142</f>
        <v>3800000</v>
      </c>
      <c r="F86" s="118">
        <f>+[7]Ppto!AB142</f>
        <v>3800000</v>
      </c>
      <c r="G86" s="88">
        <f>+[7]Ppto!AC142</f>
        <v>3800000</v>
      </c>
      <c r="H86" s="46">
        <f>+[7]Ppto!AD142</f>
        <v>3800000</v>
      </c>
      <c r="I86" s="46">
        <f>+[7]Ppto!AE142</f>
        <v>3800000</v>
      </c>
      <c r="J86" s="92">
        <v>0</v>
      </c>
      <c r="K86" s="61">
        <v>0</v>
      </c>
      <c r="L86" s="102">
        <v>0</v>
      </c>
      <c r="M86" s="4">
        <f>+J86</f>
        <v>0</v>
      </c>
      <c r="N86" s="4">
        <f>+K86</f>
        <v>0</v>
      </c>
      <c r="O86" s="4">
        <f>SUM(C86:N86)+3156500</f>
        <v>29756500</v>
      </c>
      <c r="P86" s="34"/>
      <c r="Q86" s="153">
        <v>2875200</v>
      </c>
      <c r="R86" s="38"/>
      <c r="S86" s="2">
        <v>2875000</v>
      </c>
      <c r="T86" s="153">
        <v>5750000</v>
      </c>
      <c r="V86" s="153">
        <v>5750000</v>
      </c>
    </row>
    <row r="87" spans="1:22" x14ac:dyDescent="0.25">
      <c r="A87" s="58" t="s">
        <v>215</v>
      </c>
      <c r="B87" s="115">
        <f>+[13]EjecucionPptalPasiva!$D$295</f>
        <v>10000000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>
        <v>0</v>
      </c>
      <c r="O87" s="4">
        <f>SUM(C87:N87)-10000000</f>
        <v>-10000000</v>
      </c>
      <c r="P87" s="34"/>
      <c r="Q87" s="40"/>
      <c r="R87" s="38"/>
      <c r="S87" s="2"/>
      <c r="T87" s="2"/>
      <c r="V87" s="20"/>
    </row>
    <row r="88" spans="1:22" x14ac:dyDescent="0.25">
      <c r="A88" s="54" t="s">
        <v>57</v>
      </c>
      <c r="B88" s="10">
        <f>SUM(B89:B97)</f>
        <v>253720800</v>
      </c>
      <c r="C88" s="10">
        <f t="shared" ref="C88:N88" si="28">SUM(C89:C97)</f>
        <v>6775000</v>
      </c>
      <c r="D88" s="10">
        <f t="shared" si="28"/>
        <v>11389500</v>
      </c>
      <c r="E88" s="10">
        <f>SUM(E89:E98)</f>
        <v>27889500</v>
      </c>
      <c r="F88" s="10">
        <f>SUM(F89:F98)</f>
        <v>17889500</v>
      </c>
      <c r="G88" s="10">
        <f>SUM(G89:G97)</f>
        <v>4850000</v>
      </c>
      <c r="H88" s="10">
        <f t="shared" si="28"/>
        <v>7313500</v>
      </c>
      <c r="I88" s="10">
        <f t="shared" si="28"/>
        <v>4850000</v>
      </c>
      <c r="J88" s="10">
        <f>SUM(J89:J97)</f>
        <v>7111000</v>
      </c>
      <c r="K88" s="10">
        <f t="shared" si="28"/>
        <v>611000</v>
      </c>
      <c r="L88" s="10">
        <f t="shared" si="28"/>
        <v>611000</v>
      </c>
      <c r="M88" s="10">
        <f t="shared" si="28"/>
        <v>611000</v>
      </c>
      <c r="N88" s="10">
        <f t="shared" si="28"/>
        <v>26811000</v>
      </c>
      <c r="O88" s="10">
        <f>SUM(O89:O97)</f>
        <v>80065000</v>
      </c>
      <c r="P88" s="10">
        <f t="shared" ref="P88:T88" si="29">SUM(P89:P97)</f>
        <v>5316468</v>
      </c>
      <c r="Q88" s="10">
        <f t="shared" si="29"/>
        <v>7933960</v>
      </c>
      <c r="R88" s="10">
        <f t="shared" si="29"/>
        <v>3015760</v>
      </c>
      <c r="S88" s="10">
        <f t="shared" si="29"/>
        <v>5935409</v>
      </c>
      <c r="T88" s="10">
        <f t="shared" si="29"/>
        <v>6732876</v>
      </c>
      <c r="U88" s="10">
        <f>SUM(U89:U97)</f>
        <v>19332099</v>
      </c>
      <c r="V88" s="10">
        <f t="shared" ref="V88" si="30">SUM(V89:V97)</f>
        <v>1413126</v>
      </c>
    </row>
    <row r="89" spans="1:22" x14ac:dyDescent="0.25">
      <c r="A89" s="59" t="s">
        <v>214</v>
      </c>
      <c r="B89" s="115">
        <f>+[13]EjecucionPptalPasiva!$D$294</f>
        <v>50800000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>
        <v>0</v>
      </c>
      <c r="O89" s="4">
        <f t="shared" si="22"/>
        <v>0</v>
      </c>
      <c r="P89" s="34"/>
      <c r="Q89" s="40"/>
      <c r="R89" s="38"/>
      <c r="S89" s="2"/>
      <c r="T89" s="2"/>
      <c r="V89" s="20"/>
    </row>
    <row r="90" spans="1:22" ht="45.75" thickBot="1" x14ac:dyDescent="0.3">
      <c r="A90" s="21" t="s">
        <v>65</v>
      </c>
      <c r="B90" s="115">
        <f>+[13]EjecucionPptalPasiva!$D$264</f>
        <v>68500000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34"/>
      <c r="Q90" s="40"/>
      <c r="R90" s="38">
        <v>304210</v>
      </c>
      <c r="S90" s="2"/>
      <c r="T90" s="2"/>
      <c r="V90" s="20"/>
    </row>
    <row r="91" spans="1:22" ht="15.75" thickBot="1" x14ac:dyDescent="0.3">
      <c r="A91" s="158" t="s">
        <v>206</v>
      </c>
      <c r="B91" s="51">
        <f>+[13]EjecucionPptalPasiva!$D$262</f>
        <v>65100000</v>
      </c>
      <c r="C91" s="51">
        <f>+[7]Ppto!Y97*0.7</f>
        <v>4200000</v>
      </c>
      <c r="D91" s="51">
        <f>+[8]Ppto!$J$97*70/100</f>
        <v>4200000</v>
      </c>
      <c r="E91" s="51">
        <f>+[8]Ppto!$J$97*70/100</f>
        <v>4200000</v>
      </c>
      <c r="F91" s="51">
        <f>+[8]Ppto!$J$97*70/100</f>
        <v>4200000</v>
      </c>
      <c r="G91" s="88">
        <f>+[8]Ppto!$J$97*70/100</f>
        <v>4200000</v>
      </c>
      <c r="H91" s="46">
        <f>+[8]Ppto!N97*70/100</f>
        <v>4200000</v>
      </c>
      <c r="I91" s="46">
        <f>+[8]Ppto!O97*70/100</f>
        <v>4200000</v>
      </c>
      <c r="J91" s="51"/>
      <c r="K91" s="51"/>
      <c r="L91" s="51"/>
      <c r="M91" s="51"/>
      <c r="N91" s="51">
        <f>+'[11]Planeación 2025 P&amp;K (def Mod1)'!$T$23</f>
        <v>25000000</v>
      </c>
      <c r="O91" s="51">
        <f t="shared" si="22"/>
        <v>54400000</v>
      </c>
      <c r="P91" s="159">
        <v>3496580</v>
      </c>
      <c r="Q91" s="153">
        <v>5820722</v>
      </c>
      <c r="R91" s="38">
        <v>837742</v>
      </c>
      <c r="S91" s="2">
        <v>3098166</v>
      </c>
      <c r="T91" s="153">
        <v>4480184</v>
      </c>
      <c r="U91" s="68">
        <f>+[12]EjecucionPptalPasiva!$Q$234</f>
        <v>18879779</v>
      </c>
      <c r="V91" s="20"/>
    </row>
    <row r="92" spans="1:22" ht="15.75" thickBot="1" x14ac:dyDescent="0.3">
      <c r="A92" s="58" t="s">
        <v>217</v>
      </c>
      <c r="B92" s="115">
        <f>+[13]EjecucionPptalPasiva!$D$250</f>
        <v>4000000</v>
      </c>
      <c r="C92" s="4"/>
      <c r="D92" s="4">
        <v>0</v>
      </c>
      <c r="E92" s="114">
        <v>6500000</v>
      </c>
      <c r="F92" s="118">
        <f>+'[11]Planeación 2025 P&amp;K (def Mod1)'!L33</f>
        <v>6500000</v>
      </c>
      <c r="G92" s="118">
        <v>0</v>
      </c>
      <c r="H92" s="124">
        <v>0</v>
      </c>
      <c r="I92" s="51">
        <v>0</v>
      </c>
      <c r="J92" s="116">
        <f>+'[11]Planeación 2025 P&amp;K (def Mod1)'!$O$33</f>
        <v>6500000</v>
      </c>
      <c r="K92" s="4"/>
      <c r="L92" s="4"/>
      <c r="M92" s="4"/>
      <c r="N92" s="4">
        <v>0</v>
      </c>
      <c r="O92" s="4">
        <f t="shared" si="22"/>
        <v>19500000</v>
      </c>
      <c r="P92" s="34"/>
      <c r="Q92" s="40"/>
      <c r="R92" s="38"/>
      <c r="S92" s="2"/>
      <c r="T92" s="2"/>
      <c r="V92" s="20"/>
    </row>
    <row r="93" spans="1:22" ht="15.75" thickBot="1" x14ac:dyDescent="0.3">
      <c r="A93" s="58" t="s">
        <v>212</v>
      </c>
      <c r="B93" s="115">
        <f>+[13]EjecucionPptalPasiva!$D$263</f>
        <v>19281000</v>
      </c>
      <c r="C93" s="4"/>
      <c r="D93" s="148"/>
      <c r="E93" s="149"/>
      <c r="F93" s="4"/>
      <c r="G93" s="4"/>
      <c r="H93" s="124"/>
      <c r="I93" s="51"/>
      <c r="J93" s="116"/>
      <c r="K93" s="4"/>
      <c r="L93" s="4"/>
      <c r="M93" s="4"/>
      <c r="N93" s="4"/>
      <c r="O93" s="4"/>
      <c r="P93" s="34"/>
      <c r="Q93" s="153">
        <v>1239600</v>
      </c>
      <c r="R93" s="38">
        <v>108000</v>
      </c>
      <c r="S93" s="2"/>
      <c r="T93" s="2"/>
      <c r="V93" s="20">
        <v>779000</v>
      </c>
    </row>
    <row r="94" spans="1:22" ht="15.75" thickBot="1" x14ac:dyDescent="0.3">
      <c r="A94" s="150" t="s">
        <v>213</v>
      </c>
      <c r="B94" s="115">
        <f>+[13]EjecucionPptalPasiva!$D$265+[13]EjecucionPptalPasiva!$D$289</f>
        <v>33310200</v>
      </c>
      <c r="C94" s="4">
        <f>+[7]Ppto!$Y$152*0.7+([7]Ppto!$Y$153*0.7)</f>
        <v>1925000</v>
      </c>
      <c r="D94" s="148">
        <f>+[8]Ppto!$J$152+[8]Ppto!$J$153</f>
        <v>4076000</v>
      </c>
      <c r="E94" s="148">
        <f>+[8]Ppto!$J$152+[8]Ppto!$J$153</f>
        <v>4076000</v>
      </c>
      <c r="F94" s="173">
        <f>+[8]Ppto!J152+[8]Ppto!J153</f>
        <v>4076000</v>
      </c>
      <c r="G94" s="173">
        <v>0</v>
      </c>
      <c r="H94" s="124"/>
      <c r="I94" s="51"/>
      <c r="J94" s="116"/>
      <c r="K94" s="4"/>
      <c r="L94" s="4"/>
      <c r="M94" s="4"/>
      <c r="N94" s="4"/>
      <c r="O94" s="4"/>
      <c r="P94" s="153">
        <v>1607550</v>
      </c>
      <c r="Q94" s="153">
        <f>181300+480000</f>
        <v>661300</v>
      </c>
      <c r="R94" s="38">
        <v>1450400</v>
      </c>
      <c r="S94" s="2">
        <v>2175600</v>
      </c>
      <c r="T94" s="153">
        <v>1813000</v>
      </c>
      <c r="V94" s="20"/>
    </row>
    <row r="95" spans="1:22" ht="48" x14ac:dyDescent="0.25">
      <c r="A95" s="53" t="s">
        <v>149</v>
      </c>
      <c r="B95" s="4">
        <v>0</v>
      </c>
      <c r="C95" s="4"/>
      <c r="D95" s="61">
        <v>0</v>
      </c>
      <c r="E95" s="61">
        <v>0</v>
      </c>
      <c r="F95" s="4"/>
      <c r="G95" s="4"/>
      <c r="H95" s="4">
        <v>0</v>
      </c>
      <c r="I95" s="4">
        <v>0</v>
      </c>
      <c r="J95" s="4"/>
      <c r="K95" s="4"/>
      <c r="L95" s="4"/>
      <c r="M95" s="4"/>
      <c r="N95" s="4">
        <v>1200000</v>
      </c>
      <c r="O95" s="4">
        <f>SUM(C95:N95)-2640000</f>
        <v>-1440000</v>
      </c>
      <c r="P95" s="34"/>
      <c r="Q95" s="40"/>
      <c r="R95" s="38"/>
      <c r="S95" s="2"/>
      <c r="T95" s="2"/>
      <c r="V95" s="20"/>
    </row>
    <row r="96" spans="1:22" ht="15.75" thickBot="1" x14ac:dyDescent="0.3">
      <c r="A96" s="163" t="s">
        <v>227</v>
      </c>
      <c r="B96" s="51"/>
      <c r="C96" s="51"/>
      <c r="D96" s="164">
        <f>+[8]Ppto!$J$98*37.9%</f>
        <v>2463500</v>
      </c>
      <c r="E96" s="164">
        <f>+[8]Ppto!$J$98*37.9%</f>
        <v>2463500</v>
      </c>
      <c r="F96" s="164">
        <f>+[8]Ppto!J98*37.9%</f>
        <v>2463500</v>
      </c>
      <c r="G96" s="178">
        <f>+[8]Ppto!K98*37.9%</f>
        <v>0</v>
      </c>
      <c r="H96" s="186">
        <f>+[8]Ppto!L98*37.9%</f>
        <v>2463500</v>
      </c>
      <c r="I96" s="51"/>
      <c r="J96" s="51"/>
      <c r="K96" s="51"/>
      <c r="L96" s="51"/>
      <c r="M96" s="51"/>
      <c r="N96" s="51"/>
      <c r="O96" s="51"/>
      <c r="P96" s="34"/>
      <c r="Q96" s="40"/>
      <c r="R96" s="38"/>
      <c r="S96" s="2"/>
      <c r="T96" s="2"/>
      <c r="V96" s="20"/>
    </row>
    <row r="97" spans="1:25" ht="15.75" thickBot="1" x14ac:dyDescent="0.3">
      <c r="A97" s="55" t="s">
        <v>134</v>
      </c>
      <c r="B97" s="115">
        <f>+[13]EjecucionPptalPasiva!$D$290+[13]EjecucionPptalPasiva!$D$291+[13]EjecucionPptalPasiva!$D$292+[13]EjecucionPptalPasiva!$D$293</f>
        <v>12729600</v>
      </c>
      <c r="C97" s="4">
        <f>+[7]Ppto!Y118+[7]Ppto!Y119+[7]Ppto!Y120</f>
        <v>650000</v>
      </c>
      <c r="D97" s="4">
        <f>+[7]Ppto!Z118+[7]Ppto!Z119+[7]Ppto!Z120</f>
        <v>650000</v>
      </c>
      <c r="E97" s="4">
        <f>+[7]Ppto!AA118+[7]Ppto!AA119+[7]Ppto!AA120</f>
        <v>650000</v>
      </c>
      <c r="F97" s="118">
        <f>+[7]Ppto!AB118+[7]Ppto!AB119+[7]Ppto!AB120</f>
        <v>650000</v>
      </c>
      <c r="G97" s="88">
        <f>+[7]Ppto!AC118+[7]Ppto!AC119+[7]Ppto!AC120</f>
        <v>650000</v>
      </c>
      <c r="H97" s="46">
        <f>+[7]Ppto!AD118+[7]Ppto!AD119+[7]Ppto!AD120</f>
        <v>650000</v>
      </c>
      <c r="I97" s="46">
        <f>+[8]Ppto!O118+[8]Ppto!O119+[8]Ppto!O120</f>
        <v>650000</v>
      </c>
      <c r="J97" s="116">
        <f>+'[11]Planeación 2025 P&amp;K (def Mod1)'!$P$155+'[11]Planeación 2025 P&amp;K (def Mod1)'!$P$154+'[11]Planeación 2025 P&amp;K (def Mod1)'!$P$153</f>
        <v>611000</v>
      </c>
      <c r="K97" s="116">
        <f>+'[11]Planeación 2025 P&amp;K (def Mod1)'!$P$155+'[11]Planeación 2025 P&amp;K (def Mod1)'!$P$154+'[11]Planeación 2025 P&amp;K (def Mod1)'!$P$153</f>
        <v>611000</v>
      </c>
      <c r="L97" s="84">
        <f>+'[11]Planeación 2025 P&amp;K (def Mod1)'!$R$153+'[11]Planeación 2025 P&amp;K (def Mod1)'!$R$154+'[11]Planeación 2025 P&amp;K (def Mod1)'!$R$155</f>
        <v>611000</v>
      </c>
      <c r="M97" s="4">
        <f>+'[11]Planeación 2025 P&amp;K (def Mod1)'!$T$153+'[11]Planeación 2025 P&amp;K (def Mod1)'!$T$154+'[11]Planeación 2025 P&amp;K (def Mod1)'!$T$155</f>
        <v>611000</v>
      </c>
      <c r="N97" s="143">
        <f t="shared" ref="I97:N97" si="31">+M97</f>
        <v>611000</v>
      </c>
      <c r="O97" s="4">
        <f>SUM(C97:N97)</f>
        <v>7605000</v>
      </c>
      <c r="P97" s="153">
        <v>212338</v>
      </c>
      <c r="Q97" s="153">
        <v>212338</v>
      </c>
      <c r="R97" s="38">
        <v>315408</v>
      </c>
      <c r="S97" s="2">
        <v>661643</v>
      </c>
      <c r="T97" s="153">
        <v>439692</v>
      </c>
      <c r="U97" s="68">
        <f>+[12]EjecucionPptalPasiva!$Q$262</f>
        <v>452320</v>
      </c>
      <c r="V97" s="183">
        <v>634126</v>
      </c>
    </row>
    <row r="98" spans="1:25" x14ac:dyDescent="0.25">
      <c r="A98" s="62" t="s">
        <v>229</v>
      </c>
      <c r="B98" s="4"/>
      <c r="C98" s="4"/>
      <c r="D98" s="4"/>
      <c r="E98" s="4">
        <f>+[8]Ppto!K149</f>
        <v>10000000</v>
      </c>
      <c r="F98" s="4">
        <f>+[8]Ppto!L149</f>
        <v>0</v>
      </c>
      <c r="G98" s="4">
        <f>+[8]Ppto!M149</f>
        <v>0</v>
      </c>
      <c r="H98" s="4"/>
      <c r="I98" s="4"/>
      <c r="J98" s="4"/>
      <c r="K98" s="4"/>
      <c r="L98" s="4"/>
      <c r="M98" s="4"/>
      <c r="N98" s="4"/>
      <c r="O98" s="4"/>
      <c r="P98" s="34"/>
      <c r="Q98" s="40"/>
      <c r="R98" s="38"/>
      <c r="S98" s="2"/>
      <c r="T98" s="2"/>
      <c r="V98" s="20"/>
    </row>
    <row r="99" spans="1:25" x14ac:dyDescent="0.25">
      <c r="A99" s="5" t="s">
        <v>66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>
        <f t="shared" si="22"/>
        <v>0</v>
      </c>
      <c r="P99" s="34"/>
      <c r="Q99" s="40"/>
      <c r="R99" s="38"/>
      <c r="S99" s="2"/>
      <c r="T99" s="2"/>
      <c r="V99" s="20"/>
    </row>
    <row r="100" spans="1:25" x14ac:dyDescent="0.25">
      <c r="A100" s="12" t="s">
        <v>52</v>
      </c>
      <c r="B100" s="8">
        <f t="shared" ref="B100:C100" si="32">+B88+B74+B69+B66+B64</f>
        <v>2627727800</v>
      </c>
      <c r="C100" s="8">
        <f t="shared" si="32"/>
        <v>192992250</v>
      </c>
      <c r="D100" s="8">
        <f>+D88+D74+D69+D66+D64</f>
        <v>197606750</v>
      </c>
      <c r="E100" s="8">
        <f>+E88+E74+E69+E66+E64</f>
        <v>233106750</v>
      </c>
      <c r="F100" s="8">
        <f t="shared" ref="F100:V100" si="33">+F88+F74+F69+F66+F64</f>
        <v>224106750</v>
      </c>
      <c r="G100" s="8">
        <f t="shared" ref="G100" si="34">+G88+G74+G69+G66+G64</f>
        <v>199067250</v>
      </c>
      <c r="H100" s="8">
        <f t="shared" si="33"/>
        <v>206530750</v>
      </c>
      <c r="I100" s="8">
        <f t="shared" si="33"/>
        <v>193543250</v>
      </c>
      <c r="J100" s="8">
        <f t="shared" si="33"/>
        <v>212478250</v>
      </c>
      <c r="K100" s="8">
        <f t="shared" si="33"/>
        <v>187478250</v>
      </c>
      <c r="L100" s="8">
        <f t="shared" si="33"/>
        <v>211478250</v>
      </c>
      <c r="M100" s="8">
        <f t="shared" si="33"/>
        <v>187478250</v>
      </c>
      <c r="N100" s="8">
        <f t="shared" si="33"/>
        <v>218478250</v>
      </c>
      <c r="O100" s="8">
        <f t="shared" si="33"/>
        <v>845646925.10000002</v>
      </c>
      <c r="P100" s="8">
        <f t="shared" si="33"/>
        <v>63848387</v>
      </c>
      <c r="Q100" s="8">
        <f t="shared" si="33"/>
        <v>65217079</v>
      </c>
      <c r="R100" s="8">
        <f t="shared" si="33"/>
        <v>61533979</v>
      </c>
      <c r="S100" s="8">
        <f t="shared" si="33"/>
        <v>59440409</v>
      </c>
      <c r="T100" s="8">
        <f t="shared" si="33"/>
        <v>78248714</v>
      </c>
      <c r="U100" s="8">
        <f t="shared" si="33"/>
        <v>141614810</v>
      </c>
      <c r="V100" s="8">
        <f t="shared" si="33"/>
        <v>160435460</v>
      </c>
    </row>
    <row r="101" spans="1:25" x14ac:dyDescent="0.25">
      <c r="A101" s="5" t="s">
        <v>54</v>
      </c>
      <c r="B101" s="107">
        <v>388243582.22105634</v>
      </c>
      <c r="C101" s="84">
        <v>32353631.851754691</v>
      </c>
      <c r="D101" s="107">
        <v>34751494.4218596</v>
      </c>
      <c r="E101" s="115">
        <v>34751494.4218596</v>
      </c>
      <c r="F101" s="118">
        <v>34751494.4218596</v>
      </c>
      <c r="G101" s="179">
        <v>34751494.4218596</v>
      </c>
      <c r="H101" s="46">
        <f>+G101</f>
        <v>34751494.4218596</v>
      </c>
      <c r="I101" s="46">
        <f>+H101</f>
        <v>34751494.4218596</v>
      </c>
      <c r="J101" s="88">
        <f t="shared" ref="I101:N101" si="35">+I101</f>
        <v>34751494.4218596</v>
      </c>
      <c r="K101" s="115">
        <f t="shared" si="35"/>
        <v>34751494.4218596</v>
      </c>
      <c r="L101" s="51">
        <f t="shared" si="35"/>
        <v>34751494.4218596</v>
      </c>
      <c r="M101" s="134">
        <f t="shared" si="35"/>
        <v>34751494.4218596</v>
      </c>
      <c r="N101" s="145">
        <f t="shared" si="35"/>
        <v>34751494.4218596</v>
      </c>
      <c r="O101" s="4">
        <f t="shared" si="22"/>
        <v>414620070.49221033</v>
      </c>
      <c r="P101" s="34"/>
      <c r="Q101" s="40"/>
      <c r="R101" s="38"/>
      <c r="S101" s="2"/>
      <c r="T101" s="2"/>
      <c r="U101" s="188">
        <v>28369990.6769692</v>
      </c>
      <c r="V101" s="20"/>
      <c r="W101" s="2"/>
      <c r="X101" s="2">
        <f>+I101+I102</f>
        <v>55859198.306712605</v>
      </c>
    </row>
    <row r="102" spans="1:25" ht="15.75" thickBot="1" x14ac:dyDescent="0.3">
      <c r="A102" s="5" t="s">
        <v>55</v>
      </c>
      <c r="B102" s="46">
        <v>286095540.14507371</v>
      </c>
      <c r="C102" s="4">
        <v>23841295.012089472</v>
      </c>
      <c r="D102" s="107">
        <v>21107703.884853005</v>
      </c>
      <c r="E102" s="115">
        <v>21107703.884853005</v>
      </c>
      <c r="F102" s="118">
        <v>21107703.884853005</v>
      </c>
      <c r="G102" s="179">
        <v>21107703.884853005</v>
      </c>
      <c r="H102" s="46">
        <f>+G102</f>
        <v>21107703.884853005</v>
      </c>
      <c r="I102" s="46">
        <f>+H102</f>
        <v>21107703.884853005</v>
      </c>
      <c r="J102" s="88">
        <f t="shared" ref="I102:N102" si="36">+I102</f>
        <v>21107703.884853005</v>
      </c>
      <c r="K102" s="115">
        <f>+J102</f>
        <v>21107703.884853005</v>
      </c>
      <c r="L102" s="51">
        <f t="shared" si="36"/>
        <v>21107703.884853005</v>
      </c>
      <c r="M102" s="134">
        <f t="shared" si="36"/>
        <v>21107703.884853005</v>
      </c>
      <c r="N102" s="143">
        <f t="shared" si="36"/>
        <v>21107703.884853005</v>
      </c>
      <c r="O102" s="4">
        <f t="shared" si="22"/>
        <v>256026037.74547255</v>
      </c>
      <c r="P102" s="34"/>
      <c r="Q102" s="40"/>
      <c r="R102" s="38"/>
      <c r="S102" s="2"/>
      <c r="T102" s="2"/>
      <c r="U102" s="188">
        <f>+[10]Resultados!$H$121*[12]EjecucionPptalPasiva!$Y$285/100</f>
        <v>20188800.323030833</v>
      </c>
      <c r="V102" s="20"/>
      <c r="W102" s="2"/>
      <c r="X102" s="187">
        <f>+I101/X101</f>
        <v>0.62212662328316137</v>
      </c>
      <c r="Y102" s="187">
        <f>+I102/X101</f>
        <v>0.37787337671683863</v>
      </c>
    </row>
    <row r="103" spans="1:25" ht="15.75" thickBot="1" x14ac:dyDescent="0.3">
      <c r="A103" s="5" t="s">
        <v>151</v>
      </c>
      <c r="B103" s="46"/>
      <c r="C103" s="4"/>
      <c r="D103" s="107">
        <f>+[8]Ppto!J126+[8]Ppto!J128</f>
        <v>27000000</v>
      </c>
      <c r="E103" s="107">
        <f>+[8]Ppto!K126+[8]Ppto!K128</f>
        <v>0</v>
      </c>
      <c r="F103" s="4">
        <v>0</v>
      </c>
      <c r="G103" s="4">
        <v>0</v>
      </c>
      <c r="H103" s="4">
        <v>0</v>
      </c>
      <c r="I103" s="4">
        <f>+[15]Resumennna!U363</f>
        <v>0</v>
      </c>
      <c r="J103" s="88">
        <f>+'[11]Planeación 2025 P&amp;K (def Mod1)'!P90</f>
        <v>16000000</v>
      </c>
      <c r="K103" s="115">
        <f>+'[11]Planeación 2025 P&amp;K (def Mod1)'!Q90</f>
        <v>0</v>
      </c>
      <c r="L103" s="88">
        <v>0</v>
      </c>
      <c r="M103" s="115">
        <f>+[15]Resumennna!Y363</f>
        <v>0</v>
      </c>
      <c r="N103" s="4">
        <f>+[15]Resumennna!Z363</f>
        <v>0</v>
      </c>
      <c r="O103" s="4">
        <f>SUM(C103:N103)+1000000</f>
        <v>44000000</v>
      </c>
      <c r="P103" s="34"/>
      <c r="Q103" s="165">
        <v>13658000</v>
      </c>
      <c r="R103" s="38"/>
      <c r="S103" s="2"/>
      <c r="T103" s="2"/>
      <c r="V103" s="20"/>
      <c r="W103" s="2"/>
    </row>
    <row r="104" spans="1:25" ht="15.75" thickBot="1" x14ac:dyDescent="0.3">
      <c r="A104" s="5" t="s">
        <v>18</v>
      </c>
      <c r="B104" s="46">
        <v>20000000</v>
      </c>
      <c r="C104" s="4">
        <v>0</v>
      </c>
      <c r="D104" s="107">
        <f>+[8]Ppto!J122</f>
        <v>1760000</v>
      </c>
      <c r="E104" s="115">
        <f>+[8]Ppto!K122</f>
        <v>1760000</v>
      </c>
      <c r="F104" s="143">
        <f>+[8]Ppto!L122</f>
        <v>1760000</v>
      </c>
      <c r="G104" s="179">
        <f>+[8]Ppto!M122</f>
        <v>1760000</v>
      </c>
      <c r="H104" s="46">
        <f>+[8]Ppto!N122</f>
        <v>1760000</v>
      </c>
      <c r="I104" s="46">
        <f>+[8]Ppto!O122</f>
        <v>1760000</v>
      </c>
      <c r="J104" s="88">
        <f>+'[11]Planeación 2025 P&amp;K (def Mod1)'!$O$91</f>
        <v>1500000</v>
      </c>
      <c r="K104" s="115">
        <f>+'[11]Planeación 2025 P&amp;K (def Mod1)'!$O$91</f>
        <v>1500000</v>
      </c>
      <c r="L104" s="115">
        <f>+'[11]Planeación 2025 P&amp;K (def Mod1)'!$O$91</f>
        <v>1500000</v>
      </c>
      <c r="M104" s="134">
        <f>+'[11]Planeación 2025 P&amp;K (def Mod1)'!$O$91</f>
        <v>1500000</v>
      </c>
      <c r="N104" s="145">
        <f>+'[11]Planeación 2025 P&amp;K (def Mod1)'!$O$91</f>
        <v>1500000</v>
      </c>
      <c r="O104" s="4">
        <f>SUM(C104:N104)+1200000</f>
        <v>19260000</v>
      </c>
      <c r="P104" s="34"/>
      <c r="Q104" s="165">
        <v>3728000</v>
      </c>
      <c r="R104" s="38">
        <v>1864000</v>
      </c>
      <c r="S104" s="2"/>
      <c r="T104" s="183">
        <v>1864000</v>
      </c>
      <c r="U104" s="188">
        <f>+[12]EjecucionPptalPasiva!$Q$322</f>
        <v>1864000</v>
      </c>
      <c r="V104" s="20">
        <v>5479417</v>
      </c>
    </row>
    <row r="105" spans="1:25" ht="15.75" thickBot="1" x14ac:dyDescent="0.3">
      <c r="A105" s="5" t="s">
        <v>71</v>
      </c>
      <c r="B105" s="107">
        <v>7200000</v>
      </c>
      <c r="C105" s="84"/>
      <c r="D105" s="107">
        <f>+[8]Ppto!J92</f>
        <v>350000</v>
      </c>
      <c r="E105" s="115">
        <f>+[8]Ppto!K92</f>
        <v>350000</v>
      </c>
      <c r="F105" s="143">
        <f>+[8]Ppto!L92</f>
        <v>350000</v>
      </c>
      <c r="G105" s="179">
        <f>+[8]Ppto!M92</f>
        <v>350000</v>
      </c>
      <c r="H105" s="46">
        <f>+[8]Ppto!N92</f>
        <v>350000</v>
      </c>
      <c r="I105" s="46">
        <f>+[8]Ppto!O92</f>
        <v>350000</v>
      </c>
      <c r="J105" s="88">
        <v>600000</v>
      </c>
      <c r="K105" s="115">
        <v>600000</v>
      </c>
      <c r="L105" s="115">
        <v>600000</v>
      </c>
      <c r="M105" s="134">
        <v>600000</v>
      </c>
      <c r="N105" s="145">
        <f>+M105</f>
        <v>600000</v>
      </c>
      <c r="O105" s="4">
        <f>SUM(C105:N105)-5000000</f>
        <v>100000</v>
      </c>
      <c r="P105" s="34"/>
      <c r="Q105" s="40"/>
      <c r="R105" s="38"/>
      <c r="S105" s="2"/>
      <c r="T105" s="2"/>
      <c r="V105" s="20"/>
    </row>
    <row r="106" spans="1:25" ht="15.75" thickBot="1" x14ac:dyDescent="0.3">
      <c r="A106" s="5" t="s">
        <v>84</v>
      </c>
      <c r="B106" s="46">
        <v>450000</v>
      </c>
      <c r="C106" s="4">
        <v>0</v>
      </c>
      <c r="D106" s="107">
        <v>0</v>
      </c>
      <c r="E106" s="115">
        <v>0</v>
      </c>
      <c r="F106" s="4">
        <v>0</v>
      </c>
      <c r="G106" s="4">
        <v>0</v>
      </c>
      <c r="H106" s="46">
        <f>+[8]Ppto!N94</f>
        <v>600000</v>
      </c>
      <c r="I106" s="46">
        <f>+[8]Ppto!O94</f>
        <v>0</v>
      </c>
      <c r="J106" s="4"/>
      <c r="K106" s="4"/>
      <c r="L106" s="4"/>
      <c r="M106" s="115"/>
      <c r="N106" s="4"/>
      <c r="O106" s="4">
        <f t="shared" si="22"/>
        <v>600000</v>
      </c>
      <c r="P106" s="34"/>
      <c r="Q106" s="166"/>
      <c r="R106" s="38"/>
      <c r="S106" s="2"/>
      <c r="T106" s="183">
        <v>227980</v>
      </c>
      <c r="V106" s="20"/>
    </row>
    <row r="107" spans="1:25" ht="15.75" thickBot="1" x14ac:dyDescent="0.3">
      <c r="A107" s="5" t="s">
        <v>230</v>
      </c>
      <c r="B107" s="107">
        <v>145560000</v>
      </c>
      <c r="C107" s="84">
        <v>12130000</v>
      </c>
      <c r="D107" s="107">
        <f>+[8]Ppto!J86</f>
        <v>11500000</v>
      </c>
      <c r="E107" s="115">
        <f>+[8]Ppto!K86</f>
        <v>11500000</v>
      </c>
      <c r="F107" s="143">
        <f>+[8]Ppto!L86</f>
        <v>11500000</v>
      </c>
      <c r="G107" s="179">
        <f>+[8]Ppto!M86</f>
        <v>11500000</v>
      </c>
      <c r="H107" s="46">
        <f>+[8]Ppto!N86</f>
        <v>11500000</v>
      </c>
      <c r="I107" s="46">
        <f>+[8]Ppto!O86</f>
        <v>11500000</v>
      </c>
      <c r="J107" s="88">
        <f>+'[11]Planeación 2025 P&amp;K (def Mod1)'!$O$55</f>
        <v>12130000</v>
      </c>
      <c r="K107" s="115">
        <f>+'[11]Planeación 2025 P&amp;K (def Mod1)'!$O$55</f>
        <v>12130000</v>
      </c>
      <c r="L107" s="115">
        <f>+'[11]Planeación 2025 P&amp;K (def Mod1)'!$O$55</f>
        <v>12130000</v>
      </c>
      <c r="M107" s="134">
        <f>+'[11]Planeación 2025 P&amp;K (def Mod1)'!$O$55</f>
        <v>12130000</v>
      </c>
      <c r="N107" s="145">
        <f>+M107</f>
        <v>12130000</v>
      </c>
      <c r="O107" s="46">
        <f>+[8]Ppto!O86+[8]Ppto!$O$87</f>
        <v>12300000</v>
      </c>
      <c r="P107" s="34"/>
      <c r="Q107" s="165">
        <v>22995296</v>
      </c>
      <c r="R107" s="38"/>
      <c r="S107" s="2"/>
      <c r="T107" s="2"/>
      <c r="V107" s="153">
        <v>22995296</v>
      </c>
    </row>
    <row r="108" spans="1:25" ht="30.75" thickBot="1" x14ac:dyDescent="0.3">
      <c r="A108" s="21" t="s">
        <v>89</v>
      </c>
      <c r="B108" s="107">
        <v>37800000</v>
      </c>
      <c r="C108" s="4">
        <v>0</v>
      </c>
      <c r="D108" s="84">
        <v>0</v>
      </c>
      <c r="E108" s="115">
        <f>+[8]Ppto!$K$99</f>
        <v>2500000</v>
      </c>
      <c r="F108" s="85">
        <f>+'[11]Planeación 2025 P&amp;K (def Mod1)'!L56</f>
        <v>3000000</v>
      </c>
      <c r="G108" s="182">
        <f>+[8]Ppto!M104</f>
        <v>3000000</v>
      </c>
      <c r="H108" s="182">
        <f>+[8]Ppto!N104</f>
        <v>0</v>
      </c>
      <c r="I108" s="46">
        <f>+[8]Ppto!O99</f>
        <v>2500000</v>
      </c>
      <c r="J108" s="90">
        <f>+'[11]Planeación 2025 P&amp;K (def Mod1)'!$O$56</f>
        <v>3000000</v>
      </c>
      <c r="K108" s="120">
        <f>+'[11]Planeación 2025 P&amp;K (def Mod1)'!$O$56</f>
        <v>3000000</v>
      </c>
      <c r="L108" s="120">
        <f>+'[11]Planeación 2025 P&amp;K (def Mod1)'!$O$56</f>
        <v>3000000</v>
      </c>
      <c r="M108" s="135">
        <f>+'[11]Planeación 2025 P&amp;K (def Mod1)'!O56+'[11]Planeación 2025 P&amp;K (def Mod1)'!S69</f>
        <v>5400000</v>
      </c>
      <c r="N108" s="145">
        <f>+'[11]Planeación 2025 P&amp;K (def Mod1)'!P56+'[11]Planeación 2025 P&amp;K (def Mod1)'!T69</f>
        <v>3000000</v>
      </c>
      <c r="O108" s="4">
        <f>SUM(C108:N108)-43237295</f>
        <v>-14837295</v>
      </c>
      <c r="P108" s="34"/>
      <c r="Q108" s="40"/>
      <c r="R108" s="38"/>
      <c r="S108" s="2"/>
      <c r="T108" s="2"/>
      <c r="V108" s="20">
        <v>0</v>
      </c>
    </row>
    <row r="109" spans="1:25" ht="15.75" thickBot="1" x14ac:dyDescent="0.3">
      <c r="A109" s="5" t="s">
        <v>72</v>
      </c>
      <c r="B109" s="107">
        <v>55740000</v>
      </c>
      <c r="C109" s="84">
        <v>4645000</v>
      </c>
      <c r="D109" s="107">
        <f>+[8]Ppto!J110+[8]Ppto!$J$111+[8]Ppto!$J$112+[8]Ppto!$J$113+[8]Ppto!$J$114</f>
        <v>4730000</v>
      </c>
      <c r="E109" s="115">
        <f>+[8]Ppto!K110+[8]Ppto!$J$111+[8]Ppto!$J$112+[8]Ppto!$J$113+[8]Ppto!$J$114</f>
        <v>4730000</v>
      </c>
      <c r="F109" s="143">
        <f>+[8]Ppto!L110+[8]Ppto!$J$111+[8]Ppto!$J$112+[8]Ppto!$J$113+[8]Ppto!$J$114</f>
        <v>4730000</v>
      </c>
      <c r="G109" s="179">
        <f>+[8]Ppto!M110+[8]Ppto!M111+[8]Ppto!M112+[8]Ppto!M113+[8]Ppto!M114</f>
        <v>4730000</v>
      </c>
      <c r="H109" s="46">
        <f>+[8]Ppto!N110+[8]Ppto!N111+[8]Ppto!N112+[8]Ppto!N113+[8]Ppto!N114</f>
        <v>4730000</v>
      </c>
      <c r="I109" s="46">
        <f>+[8]Ppto!O110+[8]Ppto!O111+[8]Ppto!O112+[8]Ppto!O113+[8]Ppto!O114</f>
        <v>4730000</v>
      </c>
      <c r="J109" s="88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K109" s="115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L109" s="115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M109" s="134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N109" s="145">
        <f>+'[11]Planeación 2025 P&amp;K (def Mod1)'!$O$74+'[11]Planeación 2025 P&amp;K (def Mod1)'!$O$73+'[11]Planeación 2025 P&amp;K (def Mod1)'!$O$72+'[11]Planeación 2025 P&amp;K (def Mod1)'!$O$71+'[11]Planeación 2025 P&amp;K (def Mod1)'!$O$70</f>
        <v>4645000</v>
      </c>
      <c r="O109" s="4">
        <f>SUM(C109:N109)+2400000</f>
        <v>58650000</v>
      </c>
      <c r="P109" s="34"/>
      <c r="Q109" s="165">
        <v>2338446</v>
      </c>
      <c r="R109" s="38"/>
      <c r="S109" s="153"/>
      <c r="T109" s="183">
        <v>3837351</v>
      </c>
      <c r="U109" s="188">
        <f>+[12]EjecucionPptalPasiva!$Q$76</f>
        <v>4811742</v>
      </c>
      <c r="V109" s="183">
        <v>5549850</v>
      </c>
    </row>
    <row r="110" spans="1:25" ht="45" x14ac:dyDescent="0.25">
      <c r="A110" s="21" t="s">
        <v>65</v>
      </c>
      <c r="B110" s="107">
        <v>127600000</v>
      </c>
      <c r="C110" s="4">
        <v>0</v>
      </c>
      <c r="D110" s="4">
        <v>0</v>
      </c>
      <c r="E110" s="74"/>
      <c r="F110" s="175">
        <f>+[8]Ppto!$L$100+[8]Ppto!$L$105-26000000</f>
        <v>24000000</v>
      </c>
      <c r="G110" s="89">
        <f>+[8]Ppto!M100+[8]Ppto!M105</f>
        <v>0</v>
      </c>
      <c r="H110" s="89">
        <f>+[8]Ppto!N100+[8]Ppto!N105</f>
        <v>0</v>
      </c>
      <c r="I110" s="74">
        <v>0</v>
      </c>
      <c r="J110" s="89">
        <f>+'[11]Planeación 2025 P&amp;K (def Mod1)'!P57+'[11]Planeación 2025 P&amp;K (def Mod1)'!P77</f>
        <v>52800000</v>
      </c>
      <c r="K110" s="121">
        <f>+'[11]Planeación 2025 P&amp;K (def Mod1)'!Q57+'[11]Planeación 2025 P&amp;K (def Mod1)'!Q77</f>
        <v>0</v>
      </c>
      <c r="L110" s="4">
        <f>+[15]Resumennna!X317</f>
        <v>0</v>
      </c>
      <c r="M110" s="134">
        <f>+'[11]Planeación 2025 P&amp;K (def Mod1)'!S77+'2026Ej'!AG55</f>
        <v>22000000</v>
      </c>
      <c r="N110" s="134">
        <f>+'[11]Planeación 2025 P&amp;K (def Mod1)'!T77+'2026Ej'!AH55</f>
        <v>0</v>
      </c>
      <c r="O110" s="4">
        <f t="shared" si="22"/>
        <v>98800000</v>
      </c>
      <c r="P110" s="34"/>
      <c r="Q110" s="40"/>
      <c r="R110" s="38"/>
      <c r="S110" s="2"/>
      <c r="T110" s="2"/>
      <c r="V110" s="20"/>
    </row>
    <row r="111" spans="1:25" ht="45.75" thickBot="1" x14ac:dyDescent="0.3">
      <c r="A111" s="21" t="s">
        <v>20</v>
      </c>
      <c r="B111" s="107">
        <v>2850000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f>+[15]Resumennna!U348</f>
        <v>0</v>
      </c>
      <c r="J111" s="4">
        <f>+[15]Resumennna!V348</f>
        <v>0</v>
      </c>
      <c r="K111" s="4">
        <v>0</v>
      </c>
      <c r="L111" s="4">
        <f>+[15]Resumennna!X348</f>
        <v>0</v>
      </c>
      <c r="M111" s="4">
        <f>+[15]Resumennna!Y348</f>
        <v>0</v>
      </c>
      <c r="N111" s="4">
        <f>+[15]Resumennna!Z348</f>
        <v>0</v>
      </c>
      <c r="O111" s="4">
        <f t="shared" si="22"/>
        <v>0</v>
      </c>
      <c r="P111" s="34"/>
      <c r="Q111" s="40"/>
      <c r="R111" s="38"/>
      <c r="S111" s="2"/>
      <c r="T111" s="2"/>
      <c r="V111" s="20"/>
    </row>
    <row r="112" spans="1:25" ht="15.75" thickBot="1" x14ac:dyDescent="0.3">
      <c r="A112" s="5" t="s">
        <v>21</v>
      </c>
      <c r="B112" s="46">
        <v>18000000</v>
      </c>
      <c r="C112" s="65">
        <v>0</v>
      </c>
      <c r="D112" s="160">
        <v>0</v>
      </c>
      <c r="E112" s="83">
        <v>0</v>
      </c>
      <c r="F112" s="143">
        <f>+[8]Ppto!L106</f>
        <v>780000</v>
      </c>
      <c r="G112" s="179">
        <f>+[8]Ppto!M106</f>
        <v>780000</v>
      </c>
      <c r="H112" s="46">
        <f>+[8]Ppto!N106</f>
        <v>780000</v>
      </c>
      <c r="I112" s="46">
        <f>+[8]Ppto!O106+[8]Ppto!$O$125-50000</f>
        <v>3530000</v>
      </c>
      <c r="J112" s="90">
        <f>+'[11]Planeación 2025 P&amp;K (def Mod1)'!$O$95</f>
        <v>2000000</v>
      </c>
      <c r="K112" s="120">
        <f>+'[11]Planeación 2025 P&amp;K (def Mod1)'!$O$95</f>
        <v>2000000</v>
      </c>
      <c r="L112" s="120">
        <f>+'[11]Planeación 2025 P&amp;K (def Mod1)'!$O$95</f>
        <v>2000000</v>
      </c>
      <c r="M112" s="135">
        <f>+'[11]Planeación 2025 P&amp;K (def Mod1)'!$O$95</f>
        <v>2000000</v>
      </c>
      <c r="N112" s="147">
        <f>+'[11]Planeación 2025 P&amp;K (def Mod1)'!$O$95</f>
        <v>2000000</v>
      </c>
      <c r="O112" s="4">
        <f t="shared" si="22"/>
        <v>15870000</v>
      </c>
      <c r="P112" s="34"/>
      <c r="Q112" s="40"/>
      <c r="R112" s="38"/>
      <c r="S112" s="153"/>
      <c r="T112" s="153">
        <v>6114200</v>
      </c>
      <c r="V112" s="20">
        <v>12900</v>
      </c>
    </row>
    <row r="113" spans="1:23" ht="15.75" thickBot="1" x14ac:dyDescent="0.3">
      <c r="A113" s="5" t="s">
        <v>162</v>
      </c>
      <c r="B113" s="107">
        <v>13000000</v>
      </c>
      <c r="C113" s="4"/>
      <c r="D113" s="107"/>
      <c r="E113" s="115">
        <f>+[8]Ppto!$K$106</f>
        <v>780000</v>
      </c>
      <c r="F113" s="143">
        <f>+[8]Ppto!L101+[8]Ppto!L102</f>
        <v>1994000</v>
      </c>
      <c r="G113" s="179">
        <f>+[8]Ppto!M101+[8]Ppto!M102</f>
        <v>1994000</v>
      </c>
      <c r="H113" s="46">
        <f>+[8]Ppto!N101+[8]Ppto!N102</f>
        <v>1994000</v>
      </c>
      <c r="I113" s="46">
        <f>+[8]Ppto!O101+[8]Ppto!O102</f>
        <v>1994000</v>
      </c>
      <c r="J113" s="89">
        <f>+'[11]Planeación 2025 P&amp;K (def Mod1)'!$O$58</f>
        <v>1300000</v>
      </c>
      <c r="K113" s="121">
        <f>+'[11]Planeación 2025 P&amp;K (def Mod1)'!$O$58</f>
        <v>1300000</v>
      </c>
      <c r="L113" s="121">
        <f>+'[11]Planeación 2025 P&amp;K (def Mod1)'!$O$58</f>
        <v>1300000</v>
      </c>
      <c r="M113" s="136">
        <f>+'[11]Planeación 2025 P&amp;K (def Mod1)'!$O$58</f>
        <v>1300000</v>
      </c>
      <c r="N113" s="146">
        <f>+'[11]Planeación 2025 P&amp;K (def Mod1)'!$O$58</f>
        <v>1300000</v>
      </c>
      <c r="O113" s="4">
        <f>SUM(C113:N113)+435000</f>
        <v>15691000</v>
      </c>
      <c r="P113" s="34"/>
      <c r="Q113" s="166"/>
      <c r="R113" s="38"/>
      <c r="S113" s="2"/>
      <c r="T113" s="2"/>
      <c r="U113" s="68">
        <f>+[12]EjecucionPptalPasiva!$Q$55</f>
        <v>0</v>
      </c>
      <c r="V113" s="20"/>
    </row>
    <row r="114" spans="1:23" ht="15.75" thickBot="1" x14ac:dyDescent="0.3">
      <c r="A114" s="21" t="s">
        <v>85</v>
      </c>
      <c r="B114" s="46"/>
      <c r="C114" s="4">
        <v>0</v>
      </c>
      <c r="D114" s="107">
        <f>+[8]Ppto!J131</f>
        <v>800000</v>
      </c>
      <c r="E114" s="115">
        <f>+[8]Ppto!K131</f>
        <v>800000</v>
      </c>
      <c r="F114" s="143">
        <f>+[8]Ppto!L131</f>
        <v>800000</v>
      </c>
      <c r="G114" s="179">
        <f>+[8]Ppto!M131</f>
        <v>800000</v>
      </c>
      <c r="H114" s="46">
        <f>+[8]Ppto!N131</f>
        <v>800000</v>
      </c>
      <c r="I114" s="46">
        <f>+[8]Ppto!O131</f>
        <v>800000</v>
      </c>
      <c r="J114" s="88">
        <f>+'[11]Planeación 2025 P&amp;K (def Mod1)'!$O$149</f>
        <v>580000</v>
      </c>
      <c r="K114" s="115">
        <f>+'[11]Planeación 2025 P&amp;K (def Mod1)'!$O$149</f>
        <v>580000</v>
      </c>
      <c r="L114" s="115">
        <f>+'[11]Planeación 2025 P&amp;K (def Mod1)'!$O$149</f>
        <v>580000</v>
      </c>
      <c r="M114" s="134">
        <f>+'[11]Planeación 2025 P&amp;K (def Mod1)'!$O$149</f>
        <v>580000</v>
      </c>
      <c r="N114" s="145">
        <f>+'[11]Planeación 2025 P&amp;K (def Mod1)'!$O$149</f>
        <v>580000</v>
      </c>
      <c r="O114" s="4">
        <f t="shared" si="22"/>
        <v>7700000</v>
      </c>
      <c r="P114" s="34"/>
      <c r="Q114" s="153">
        <f>1160523.02+34781</f>
        <v>1195304.02</v>
      </c>
      <c r="R114" s="153"/>
      <c r="S114" s="153"/>
      <c r="T114" s="153">
        <f>1089033+38311</f>
        <v>1127344</v>
      </c>
      <c r="U114" s="188">
        <f>+[12]EjecucionPptalPasiva!$Q$70</f>
        <v>1465236</v>
      </c>
      <c r="V114" s="153">
        <f>941097+53617</f>
        <v>994714</v>
      </c>
    </row>
    <row r="115" spans="1:23" ht="15.75" thickBot="1" x14ac:dyDescent="0.3">
      <c r="A115" s="5" t="s">
        <v>23</v>
      </c>
      <c r="B115" s="107">
        <v>109000000</v>
      </c>
      <c r="C115" s="4">
        <v>0</v>
      </c>
      <c r="D115" s="161">
        <f>+[8]Ppto!J85</f>
        <v>25000000</v>
      </c>
      <c r="E115" s="121">
        <f>+[8]Ppto!K85</f>
        <v>12000000</v>
      </c>
      <c r="F115" s="176">
        <f>+[8]Ppto!L85</f>
        <v>10000000</v>
      </c>
      <c r="G115" s="180">
        <f>+[8]Ppto!M85</f>
        <v>10000000</v>
      </c>
      <c r="H115" s="184">
        <f>+[8]Ppto!N85</f>
        <v>10000000</v>
      </c>
      <c r="I115" s="184">
        <f>+[8]Ppto!O85</f>
        <v>10000000</v>
      </c>
      <c r="J115" s="89">
        <f>+'[11]Planeación 2025 P&amp;K (def Mod1)'!$O$59</f>
        <v>10900000</v>
      </c>
      <c r="K115" s="121">
        <f>+'[11]Planeación 2025 P&amp;K (def Mod1)'!$O$59</f>
        <v>10900000</v>
      </c>
      <c r="L115" s="121">
        <f>+'[11]Planeación 2025 P&amp;K (def Mod1)'!$O$59</f>
        <v>10900000</v>
      </c>
      <c r="M115" s="136">
        <f>+'[11]Planeación 2025 P&amp;K (def Mod1)'!$O$59</f>
        <v>10900000</v>
      </c>
      <c r="N115" s="146">
        <f>+'[11]Planeación 2025 P&amp;K (def Mod1)'!$O$59</f>
        <v>10900000</v>
      </c>
      <c r="O115" s="184">
        <f>+[8]Ppto!O85</f>
        <v>10000000</v>
      </c>
      <c r="P115" s="34"/>
      <c r="Q115" s="166"/>
      <c r="R115" s="38"/>
      <c r="S115" s="2"/>
      <c r="T115" s="2"/>
      <c r="U115" s="188">
        <f>+[12]EjecucionPptalPasiva!$Q$80+[12]EjecucionPptalPasiva!$Q$261</f>
        <v>19230655</v>
      </c>
      <c r="V115" s="153">
        <f>22154020+10765730</f>
        <v>32919750</v>
      </c>
      <c r="W115" s="183"/>
    </row>
    <row r="116" spans="1:23" ht="15.75" thickBot="1" x14ac:dyDescent="0.3">
      <c r="A116" s="5" t="s">
        <v>161</v>
      </c>
      <c r="B116" s="107">
        <v>4000000</v>
      </c>
      <c r="C116" s="80">
        <v>0</v>
      </c>
      <c r="D116" s="80">
        <v>0</v>
      </c>
      <c r="E116" s="80">
        <v>0</v>
      </c>
      <c r="F116" s="174">
        <f>+[8]Ppto!L99+[8]Ppto!$L$109</f>
        <v>4900000</v>
      </c>
      <c r="G116" s="179">
        <f>+[8]Ppto!M99+[8]Ppto!M109+[8]Ppto!M103</f>
        <v>3500000</v>
      </c>
      <c r="H116" s="46">
        <f>+[8]Ppto!N99+[8]Ppto!N109+[8]Ppto!N103</f>
        <v>4500000</v>
      </c>
      <c r="I116" s="46">
        <f>+[8]Ppto!O109+[8]Ppto!O103</f>
        <v>1000000</v>
      </c>
      <c r="J116" s="67">
        <v>0</v>
      </c>
      <c r="K116" s="122">
        <f>+'[11]Planeación 2025 P&amp;K (def Mod1)'!$O$48</f>
        <v>3000000</v>
      </c>
      <c r="L116" s="67">
        <v>0</v>
      </c>
      <c r="M116" s="121">
        <v>0</v>
      </c>
      <c r="N116" s="67">
        <v>0</v>
      </c>
      <c r="O116" s="4">
        <f>SUM(C116:N116)-12000000</f>
        <v>4900000</v>
      </c>
      <c r="P116" s="34"/>
      <c r="Q116" s="40"/>
      <c r="R116" s="38"/>
      <c r="S116" s="2"/>
      <c r="T116" s="2"/>
      <c r="V116" s="20"/>
    </row>
    <row r="117" spans="1:23" ht="30.75" thickBot="1" x14ac:dyDescent="0.3">
      <c r="A117" s="21" t="s">
        <v>37</v>
      </c>
      <c r="B117" s="107">
        <v>90600000</v>
      </c>
      <c r="C117" s="86">
        <v>7550000</v>
      </c>
      <c r="D117" s="161">
        <f>+[8]Ppto!K12+[8]Ppto!K13</f>
        <v>7930400</v>
      </c>
      <c r="E117" s="121">
        <f>+[8]Ppto!L12+[8]Ppto!L13</f>
        <v>7930400</v>
      </c>
      <c r="F117" s="176">
        <f>+[8]Ppto!L12+[8]Ppto!L13</f>
        <v>7930400</v>
      </c>
      <c r="G117" s="180">
        <f>+[8]Ppto!M12+[8]Ppto!M13</f>
        <v>13040800</v>
      </c>
      <c r="H117" s="184">
        <f>+[8]Ppto!N12+[8]Ppto!N13</f>
        <v>7930400</v>
      </c>
      <c r="I117" s="184">
        <f>+[8]Ppto!O12+[8]Ppto!O13</f>
        <v>7930400</v>
      </c>
      <c r="J117" s="89">
        <f>+'[11]Planeación 2025 P&amp;K (def Mod1)'!$O$60</f>
        <v>7550000</v>
      </c>
      <c r="K117" s="121">
        <f>+'[11]Planeación 2025 P&amp;K (def Mod1)'!$O$60</f>
        <v>7550000</v>
      </c>
      <c r="L117" s="121">
        <f>+'[11]Planeación 2025 P&amp;K (def Mod1)'!$O$60</f>
        <v>7550000</v>
      </c>
      <c r="M117" s="136">
        <f>+'[11]Planeación 2025 P&amp;K (def Mod1)'!$O$60</f>
        <v>7550000</v>
      </c>
      <c r="N117" s="146">
        <f>+'[11]Planeación 2025 P&amp;K (def Mod1)'!$O$60</f>
        <v>7550000</v>
      </c>
      <c r="O117" s="4">
        <f t="shared" si="22"/>
        <v>97992800</v>
      </c>
      <c r="P117" s="34"/>
      <c r="Q117" s="165">
        <v>9622400</v>
      </c>
      <c r="R117" s="38"/>
      <c r="S117" s="153"/>
      <c r="T117" s="153">
        <v>7930400</v>
      </c>
      <c r="U117" s="188">
        <v>7930400</v>
      </c>
      <c r="V117" s="153">
        <v>7930400</v>
      </c>
    </row>
    <row r="118" spans="1:23" ht="30.75" thickBot="1" x14ac:dyDescent="0.3">
      <c r="A118" s="21" t="s">
        <v>24</v>
      </c>
      <c r="B118" s="46">
        <v>0</v>
      </c>
      <c r="C118" s="4">
        <v>0</v>
      </c>
      <c r="D118" s="107">
        <f>+[8]Ppto!J14</f>
        <v>2500000</v>
      </c>
      <c r="E118" s="121">
        <f>+[8]Ppto!K14</f>
        <v>2500000</v>
      </c>
      <c r="F118" s="176">
        <f>+[8]Ppto!L14</f>
        <v>2500000</v>
      </c>
      <c r="G118" s="180">
        <f>+[8]Ppto!M14</f>
        <v>2500000</v>
      </c>
      <c r="H118" s="184">
        <f>+[8]Ppto!N14</f>
        <v>2500000</v>
      </c>
      <c r="I118" s="184">
        <f>+[8]Ppto!O14</f>
        <v>2500000</v>
      </c>
      <c r="J118" s="4"/>
      <c r="K118" s="4"/>
      <c r="L118" s="4"/>
      <c r="M118" s="4">
        <f>+I118</f>
        <v>2500000</v>
      </c>
      <c r="N118" s="4"/>
      <c r="O118" s="4">
        <f>SUM(C118:N118)-8000000</f>
        <v>9500000</v>
      </c>
      <c r="P118" s="34"/>
      <c r="Q118" s="40"/>
      <c r="R118" s="38"/>
      <c r="S118" s="2"/>
      <c r="T118" s="2"/>
      <c r="V118" s="20"/>
    </row>
    <row r="119" spans="1:23" ht="15.75" thickBot="1" x14ac:dyDescent="0.3">
      <c r="A119" s="21" t="s">
        <v>25</v>
      </c>
      <c r="B119" s="107">
        <v>67000000</v>
      </c>
      <c r="C119" s="86">
        <v>4250000</v>
      </c>
      <c r="D119" s="161">
        <f>+[8]Ppto!J15</f>
        <v>4142000</v>
      </c>
      <c r="E119" s="121">
        <f>+[8]Ppto!K15</f>
        <v>4142000</v>
      </c>
      <c r="F119" s="176">
        <f>+[8]Ppto!L15+[8]Ppto!L80</f>
        <v>4542000</v>
      </c>
      <c r="G119" s="180">
        <f>+[8]Ppto!M15+[8]Ppto!M80</f>
        <v>4142000</v>
      </c>
      <c r="H119" s="184">
        <f>+[8]Ppto!N15+[8]Ppto!N80</f>
        <v>4142000</v>
      </c>
      <c r="I119" s="184">
        <f>+[8]Ppto!O15+[8]Ppto!O80</f>
        <v>6142000</v>
      </c>
      <c r="J119" s="88">
        <f>+'[11]Planeación 2025 P&amp;K (def Mod1)'!$O$62</f>
        <v>5850000</v>
      </c>
      <c r="K119" s="115">
        <f>+'[11]Planeación 2025 P&amp;K (def Mod1)'!$O$62</f>
        <v>5850000</v>
      </c>
      <c r="L119" s="115">
        <f>+'[11]Planeación 2025 P&amp;K (def Mod1)'!$O$62</f>
        <v>5850000</v>
      </c>
      <c r="M119" s="134">
        <f>+'[11]Planeación 2025 P&amp;K (def Mod1)'!$O$62</f>
        <v>5850000</v>
      </c>
      <c r="N119" s="145">
        <f>+'[11]Planeación 2025 P&amp;K (def Mod1)'!$O$62</f>
        <v>5850000</v>
      </c>
      <c r="O119" s="4">
        <f>SUM(C119:N119)-7971800</f>
        <v>52780200</v>
      </c>
      <c r="P119" s="34"/>
      <c r="Q119" s="165">
        <v>4142000</v>
      </c>
      <c r="R119" s="38"/>
      <c r="S119" s="153"/>
      <c r="T119" s="153">
        <v>5335100</v>
      </c>
      <c r="U119" s="188">
        <f>+[12]EjecucionPptalPasiva!$Q$86</f>
        <v>4142000</v>
      </c>
      <c r="V119" s="20">
        <f>72500+4744700</f>
        <v>4817200</v>
      </c>
    </row>
    <row r="120" spans="1:23" ht="15.75" thickBot="1" x14ac:dyDescent="0.3">
      <c r="A120" s="21" t="s">
        <v>160</v>
      </c>
      <c r="B120" s="46">
        <v>0</v>
      </c>
      <c r="C120" s="4"/>
      <c r="D120" s="4"/>
      <c r="E120" s="4"/>
      <c r="F120" s="4"/>
      <c r="G120" s="4"/>
      <c r="H120" s="4"/>
      <c r="I120" s="4"/>
      <c r="J120" s="115">
        <v>0</v>
      </c>
      <c r="K120" s="4">
        <v>0</v>
      </c>
      <c r="L120" s="4"/>
      <c r="M120" s="121"/>
      <c r="N120" s="84">
        <v>0</v>
      </c>
      <c r="O120" s="4">
        <f>SUM(C120:N120)-31000000</f>
        <v>-31000000</v>
      </c>
      <c r="P120" s="34"/>
      <c r="Q120" s="40"/>
      <c r="R120" s="38"/>
      <c r="S120" s="2"/>
      <c r="T120" s="2"/>
      <c r="V120" s="20"/>
    </row>
    <row r="121" spans="1:23" ht="15.75" thickBot="1" x14ac:dyDescent="0.3">
      <c r="A121" s="5" t="s">
        <v>60</v>
      </c>
      <c r="B121" s="107">
        <v>47711000</v>
      </c>
      <c r="C121" s="84">
        <v>3854000</v>
      </c>
      <c r="D121" s="107">
        <f>+[8]Ppto!J16</f>
        <v>4120000</v>
      </c>
      <c r="E121" s="115">
        <f>+[8]Ppto!K16</f>
        <v>4120000</v>
      </c>
      <c r="F121" s="143">
        <f>+[8]Ppto!L16</f>
        <v>4120000</v>
      </c>
      <c r="G121" s="179">
        <f>+[8]Ppto!M16</f>
        <v>4120000</v>
      </c>
      <c r="H121" s="46">
        <f>+[8]Ppto!N16</f>
        <v>4120000</v>
      </c>
      <c r="I121" s="46">
        <f>+[8]Ppto!O16</f>
        <v>4120000</v>
      </c>
      <c r="J121" s="88">
        <f>+'[11]Planeación 2025 P&amp;K (def Mod1)'!$O$63</f>
        <v>3987000</v>
      </c>
      <c r="K121" s="115">
        <f>+'[11]Planeación 2025 P&amp;K (def Mod1)'!$O$63</f>
        <v>3987000</v>
      </c>
      <c r="L121" s="115">
        <f>+'[11]Planeación 2025 P&amp;K (def Mod1)'!$O$63</f>
        <v>3987000</v>
      </c>
      <c r="M121" s="136">
        <f>+'[11]Planeación 2025 P&amp;K (def Mod1)'!$O$63</f>
        <v>3987000</v>
      </c>
      <c r="N121" s="146">
        <f>+'[11]Planeación 2025 P&amp;K (def Mod1)'!$O$63</f>
        <v>3987000</v>
      </c>
      <c r="O121" s="4">
        <f t="shared" si="22"/>
        <v>48509000</v>
      </c>
      <c r="P121" s="34"/>
      <c r="Q121" s="166"/>
      <c r="R121" s="38"/>
      <c r="S121" s="153"/>
      <c r="T121" s="153">
        <v>4189600</v>
      </c>
      <c r="U121" s="188">
        <v>4189200</v>
      </c>
      <c r="V121" s="20">
        <v>4189200</v>
      </c>
    </row>
    <row r="122" spans="1:23" ht="15.75" thickBot="1" x14ac:dyDescent="0.3">
      <c r="A122" s="5" t="s">
        <v>26</v>
      </c>
      <c r="B122" s="4"/>
      <c r="C122" s="4"/>
      <c r="D122" s="4"/>
      <c r="E122" s="4"/>
      <c r="F122" s="116"/>
      <c r="G122" s="116"/>
      <c r="H122" s="116"/>
      <c r="I122" s="4"/>
      <c r="J122" s="4"/>
      <c r="K122" s="4"/>
      <c r="L122" s="4"/>
      <c r="M122" s="121"/>
      <c r="N122" s="4"/>
      <c r="O122" s="4">
        <f t="shared" si="22"/>
        <v>0</v>
      </c>
      <c r="P122" s="34"/>
      <c r="Q122" s="40"/>
      <c r="R122" s="38"/>
      <c r="S122" s="2"/>
      <c r="T122" s="2"/>
      <c r="V122" s="20"/>
    </row>
    <row r="123" spans="1:23" ht="15.75" thickBot="1" x14ac:dyDescent="0.3">
      <c r="A123" s="5" t="s">
        <v>92</v>
      </c>
      <c r="B123" s="46">
        <v>59530000</v>
      </c>
      <c r="C123" s="107">
        <v>4750000</v>
      </c>
      <c r="D123" s="107">
        <f>+[8]Ppto!J17</f>
        <v>2417300</v>
      </c>
      <c r="E123" s="115">
        <f>+[8]Ppto!K17</f>
        <v>2417300</v>
      </c>
      <c r="F123" s="143">
        <f>+[8]Ppto!L17+[8]Ppto!$L$107</f>
        <v>5417300</v>
      </c>
      <c r="G123" s="179">
        <f>+[8]Ppto!M17+[8]Ppto!M107</f>
        <v>2417300</v>
      </c>
      <c r="H123" s="46">
        <f>+[8]Ppto!N17+[8]Ppto!N107</f>
        <v>2417300</v>
      </c>
      <c r="I123" s="46">
        <f>+[8]Ppto!O17+[8]Ppto!O107</f>
        <v>2417300</v>
      </c>
      <c r="J123" s="88">
        <f>+'[11]Planeación 2025 P&amp;K (def Mod1)'!$O$94</f>
        <v>4750000</v>
      </c>
      <c r="K123" s="115">
        <f>+'[11]Planeación 2025 P&amp;K (def Mod1)'!$O$94</f>
        <v>4750000</v>
      </c>
      <c r="L123" s="115">
        <f>+'[11]Planeación 2025 P&amp;K (def Mod1)'!$O$94</f>
        <v>4750000</v>
      </c>
      <c r="M123" s="136">
        <f>+'[11]Planeación 2025 P&amp;K (def Mod1)'!$O$94</f>
        <v>4750000</v>
      </c>
      <c r="N123" s="146">
        <f>+'[11]Planeación 2025 P&amp;K (def Mod1)'!$O$94</f>
        <v>4750000</v>
      </c>
      <c r="O123" s="4">
        <f>SUM(C123:N123)+540122</f>
        <v>46543922</v>
      </c>
      <c r="P123" s="34"/>
      <c r="Q123" s="165">
        <v>2417300</v>
      </c>
      <c r="R123" s="38">
        <v>2417300</v>
      </c>
      <c r="S123" s="2"/>
      <c r="T123" s="153">
        <v>2417300</v>
      </c>
      <c r="V123" s="20">
        <f>1300000+3917300</f>
        <v>5217300</v>
      </c>
    </row>
    <row r="124" spans="1:23" x14ac:dyDescent="0.25">
      <c r="A124" s="5" t="s">
        <v>73</v>
      </c>
      <c r="B124" s="46"/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84"/>
      <c r="J124" s="88">
        <v>0</v>
      </c>
      <c r="K124" s="4">
        <v>0</v>
      </c>
      <c r="L124" s="4">
        <f t="shared" ref="L124:N124" si="37">+K124</f>
        <v>0</v>
      </c>
      <c r="M124" s="121">
        <f t="shared" si="37"/>
        <v>0</v>
      </c>
      <c r="N124" s="82">
        <f t="shared" si="37"/>
        <v>0</v>
      </c>
      <c r="O124" s="4">
        <f>SUM(C124:N124)+500000</f>
        <v>500000</v>
      </c>
      <c r="P124" s="34"/>
      <c r="Q124" s="40"/>
      <c r="R124" s="38"/>
      <c r="S124" s="2"/>
      <c r="T124" s="2"/>
      <c r="V124" s="20"/>
    </row>
    <row r="125" spans="1:23" x14ac:dyDescent="0.25">
      <c r="A125" s="5" t="s">
        <v>27</v>
      </c>
      <c r="B125" s="107">
        <v>3000000</v>
      </c>
      <c r="C125" s="74">
        <v>1500000</v>
      </c>
      <c r="D125" s="51">
        <v>0</v>
      </c>
      <c r="E125" s="74">
        <v>0</v>
      </c>
      <c r="F125" s="74">
        <v>0</v>
      </c>
      <c r="G125" s="74">
        <v>0</v>
      </c>
      <c r="H125" s="74">
        <v>0</v>
      </c>
      <c r="I125" s="66">
        <v>0</v>
      </c>
      <c r="J125" s="86">
        <v>0</v>
      </c>
      <c r="K125" s="66">
        <v>0</v>
      </c>
      <c r="L125" s="74">
        <v>0</v>
      </c>
      <c r="M125" s="121">
        <v>0</v>
      </c>
      <c r="N125" s="66">
        <v>0</v>
      </c>
      <c r="O125" s="4">
        <f>SUM(C125:N125)-500000</f>
        <v>1000000</v>
      </c>
      <c r="P125" s="34"/>
      <c r="Q125" s="166"/>
      <c r="R125" s="38"/>
      <c r="S125" s="2"/>
      <c r="T125" s="2"/>
      <c r="V125" s="20"/>
    </row>
    <row r="126" spans="1:23" x14ac:dyDescent="0.25">
      <c r="A126" s="5" t="s">
        <v>74</v>
      </c>
      <c r="B126" s="46"/>
      <c r="C126" s="74">
        <v>0</v>
      </c>
      <c r="D126" s="74">
        <v>0</v>
      </c>
      <c r="E126" s="74">
        <v>0</v>
      </c>
      <c r="F126" s="74">
        <v>0</v>
      </c>
      <c r="G126" s="74">
        <v>0</v>
      </c>
      <c r="H126" s="74">
        <v>0</v>
      </c>
      <c r="I126" s="86">
        <v>4800000</v>
      </c>
      <c r="J126" s="89">
        <v>0</v>
      </c>
      <c r="K126" s="74">
        <v>0</v>
      </c>
      <c r="L126" s="74">
        <v>0</v>
      </c>
      <c r="M126" s="121">
        <v>0</v>
      </c>
      <c r="N126" s="106">
        <v>0</v>
      </c>
      <c r="O126" s="4">
        <f>SUM(C126:N126)+7000000</f>
        <v>11800000</v>
      </c>
      <c r="P126" s="34"/>
      <c r="Q126" s="40"/>
      <c r="R126" s="38"/>
      <c r="S126" s="2"/>
      <c r="T126" s="2"/>
      <c r="V126" s="20"/>
    </row>
    <row r="127" spans="1:23" x14ac:dyDescent="0.25">
      <c r="A127" s="5" t="s">
        <v>28</v>
      </c>
      <c r="B127" s="107">
        <v>12000000</v>
      </c>
      <c r="C127" s="4">
        <v>0</v>
      </c>
      <c r="D127" s="107"/>
      <c r="E127" s="4"/>
      <c r="F127" s="4"/>
      <c r="G127" s="4"/>
      <c r="H127" s="4"/>
      <c r="I127" s="4"/>
      <c r="J127" s="84"/>
      <c r="K127" s="4"/>
      <c r="L127" s="51">
        <f>+'[11]Planeación 2025 P&amp;K (def Mod1)'!$R$54</f>
        <v>12000000</v>
      </c>
      <c r="M127" s="121"/>
      <c r="N127" s="4"/>
      <c r="O127" s="4">
        <f t="shared" si="22"/>
        <v>12000000</v>
      </c>
      <c r="P127" s="34"/>
      <c r="Q127" s="166"/>
      <c r="R127" s="38"/>
      <c r="S127" s="2"/>
      <c r="T127" s="2"/>
      <c r="V127" s="20"/>
    </row>
    <row r="128" spans="1:23" ht="15.75" thickBot="1" x14ac:dyDescent="0.3">
      <c r="A128" s="5" t="s">
        <v>29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21"/>
      <c r="N128" s="4"/>
      <c r="O128" s="4">
        <f t="shared" si="22"/>
        <v>0</v>
      </c>
      <c r="P128" s="34"/>
      <c r="Q128" s="40"/>
      <c r="R128" s="38"/>
      <c r="S128" s="2"/>
      <c r="T128" s="2"/>
      <c r="V128" s="20"/>
    </row>
    <row r="129" spans="1:22" ht="15.75" thickBot="1" x14ac:dyDescent="0.3">
      <c r="A129" s="5" t="s">
        <v>163</v>
      </c>
      <c r="B129" s="107">
        <v>27800000</v>
      </c>
      <c r="C129" s="74">
        <v>0</v>
      </c>
      <c r="D129" s="161">
        <f>+[8]Ppto!J81</f>
        <v>2134000</v>
      </c>
      <c r="E129" s="121">
        <f>+[8]Ppto!K81</f>
        <v>2134000</v>
      </c>
      <c r="F129" s="176">
        <f>+[8]Ppto!L81</f>
        <v>2134000</v>
      </c>
      <c r="G129" s="180">
        <f>+[8]Ppto!M81+[8]Ppto!$M$79</f>
        <v>4534000</v>
      </c>
      <c r="H129" s="184">
        <f>+[8]Ppto!N81+[8]Ppto!N79</f>
        <v>2134000</v>
      </c>
      <c r="I129" s="184">
        <f>+[8]Ppto!O81+[8]Ppto!O79</f>
        <v>2134000</v>
      </c>
      <c r="J129" s="89">
        <f>+'[11]Planeación 2025 P&amp;K (def Mod1)'!$N$61</f>
        <v>1200000</v>
      </c>
      <c r="K129" s="121">
        <f>+'[16]Planeación 2024 P&amp;K'!$U$69</f>
        <v>0</v>
      </c>
      <c r="L129" s="66">
        <v>1200000</v>
      </c>
      <c r="M129" s="121">
        <v>0</v>
      </c>
      <c r="N129" s="146">
        <f>+'[11]Planeación 2025 P&amp;K (def Mod1)'!$T$61</f>
        <v>17000000</v>
      </c>
      <c r="O129" s="184">
        <f>+[8]Ppto!$O$81</f>
        <v>2134000</v>
      </c>
      <c r="P129" s="34"/>
      <c r="Q129" s="166"/>
      <c r="R129" s="38"/>
      <c r="S129" s="153"/>
      <c r="T129" s="153">
        <v>2076800</v>
      </c>
      <c r="V129" s="20">
        <v>8307200</v>
      </c>
    </row>
    <row r="130" spans="1:22" ht="15.75" thickBot="1" x14ac:dyDescent="0.3">
      <c r="A130" s="21" t="s">
        <v>221</v>
      </c>
      <c r="B130" s="46"/>
      <c r="C130" s="4"/>
      <c r="D130" s="107"/>
      <c r="E130" s="115">
        <f>+[8]Ppto!$K$82</f>
        <v>1200000</v>
      </c>
      <c r="F130" s="143">
        <f>+[8]Ppto!L$82</f>
        <v>950000</v>
      </c>
      <c r="G130" s="143">
        <f>+[8]Ppto!M$82</f>
        <v>0</v>
      </c>
      <c r="H130" s="143">
        <f>+[8]Ppto!N$82</f>
        <v>0</v>
      </c>
      <c r="I130" s="4"/>
      <c r="J130" s="51">
        <f>+'[11]Planeación 2025 P&amp;K (def Mod1)'!$P$67</f>
        <v>950000</v>
      </c>
      <c r="K130" s="4"/>
      <c r="L130" s="4"/>
      <c r="M130" s="121">
        <v>0</v>
      </c>
      <c r="N130" s="143">
        <f>+'[11]Planeación 2025 P&amp;K (def Mod1)'!$T$67</f>
        <v>950000</v>
      </c>
      <c r="O130" s="4">
        <f>SUM(C130:N130)-1150000</f>
        <v>2900000</v>
      </c>
      <c r="P130" s="34"/>
      <c r="Q130" s="165">
        <v>42000</v>
      </c>
      <c r="R130" s="38"/>
      <c r="S130" s="2"/>
      <c r="T130" s="2"/>
      <c r="U130" s="188">
        <f>+[12]EjecucionPptalPasiva!$Q$52</f>
        <v>2499500</v>
      </c>
      <c r="V130" s="20"/>
    </row>
    <row r="131" spans="1:22" x14ac:dyDescent="0.25">
      <c r="A131" s="5" t="s">
        <v>232</v>
      </c>
      <c r="B131" s="107">
        <v>7000000</v>
      </c>
      <c r="C131" s="4">
        <v>0</v>
      </c>
      <c r="D131" s="4">
        <v>0</v>
      </c>
      <c r="E131" s="51">
        <f>+[8]Ppto!$K$78</f>
        <v>1000000</v>
      </c>
      <c r="F131" s="51">
        <f>+[8]Ppto!L$78</f>
        <v>0</v>
      </c>
      <c r="G131" s="179">
        <f>+[8]Ppto!M$78+[8]Ppto!$M$83</f>
        <v>8000000</v>
      </c>
      <c r="H131" s="46">
        <f>+[8]Ppto!N$78+[8]Ppto!$M$83</f>
        <v>6500000</v>
      </c>
      <c r="I131" s="46">
        <f>+'[11]Planeación 2025 P&amp;K (def Mod1)'!$O$44</f>
        <v>1400000</v>
      </c>
      <c r="J131" s="84">
        <v>0</v>
      </c>
      <c r="K131" s="115">
        <f>+'[11]Planeación 2025 P&amp;K (def Mod1)'!$O$44</f>
        <v>1400000</v>
      </c>
      <c r="L131" s="4">
        <v>0</v>
      </c>
      <c r="M131" s="134">
        <f>+'[11]Planeación 2025 P&amp;K (def Mod1)'!O44</f>
        <v>1400000</v>
      </c>
      <c r="N131" s="134">
        <f>+'[11]Planeación 2025 P&amp;K (def Mod1)'!P44</f>
        <v>0</v>
      </c>
      <c r="O131" s="46">
        <f>+[8]Ppto!$O78</f>
        <v>1500000</v>
      </c>
      <c r="P131" s="34"/>
      <c r="Q131" s="40"/>
      <c r="R131" s="38"/>
      <c r="S131" s="2"/>
      <c r="T131" s="2">
        <v>4384000</v>
      </c>
      <c r="U131" s="188">
        <f>+[12]EjecucionPptalPasiva!$Q$82</f>
        <v>423171</v>
      </c>
      <c r="V131" s="20"/>
    </row>
    <row r="132" spans="1:22" ht="15.75" thickBot="1" x14ac:dyDescent="0.3">
      <c r="A132" s="108" t="s">
        <v>185</v>
      </c>
      <c r="B132" s="4">
        <v>300000000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>
        <f t="shared" si="22"/>
        <v>0</v>
      </c>
      <c r="P132" s="34"/>
      <c r="Q132" s="40"/>
      <c r="R132" s="38"/>
      <c r="S132" s="2"/>
      <c r="T132" s="2"/>
      <c r="V132" s="20"/>
    </row>
    <row r="133" spans="1:22" ht="15.75" thickBot="1" x14ac:dyDescent="0.3">
      <c r="A133" s="63" t="s">
        <v>93</v>
      </c>
      <c r="B133" s="46">
        <v>55200000</v>
      </c>
      <c r="C133" s="107">
        <v>4600000</v>
      </c>
      <c r="D133" s="107">
        <f>+[8]Ppto!J123</f>
        <v>4600000</v>
      </c>
      <c r="E133" s="115">
        <f>+[8]Ppto!K123</f>
        <v>4600000</v>
      </c>
      <c r="F133" s="143">
        <f>+[8]Ppto!L123</f>
        <v>4600000</v>
      </c>
      <c r="G133" s="179">
        <f>+[8]Ppto!M123</f>
        <v>4600000</v>
      </c>
      <c r="H133" s="46">
        <f>+[8]Ppto!N123</f>
        <v>4600000</v>
      </c>
      <c r="I133" s="46">
        <f>+[8]Ppto!O123</f>
        <v>4600000</v>
      </c>
      <c r="J133" s="119">
        <f>+'[11]Planeación 2025 P&amp;K (def Mod1)'!$O$92</f>
        <v>4600000</v>
      </c>
      <c r="K133" s="115">
        <f>+'[11]Planeación 2025 P&amp;K (def Mod1)'!$O$92</f>
        <v>4600000</v>
      </c>
      <c r="L133" s="115">
        <f>+'[11]Planeación 2025 P&amp;K (def Mod1)'!$O$92</f>
        <v>4600000</v>
      </c>
      <c r="M133" s="134">
        <f>+'[11]Planeación 2025 P&amp;K (def Mod1)'!$O$92</f>
        <v>4600000</v>
      </c>
      <c r="N133" s="145">
        <f>+M133</f>
        <v>4600000</v>
      </c>
      <c r="O133" s="4">
        <f>SUM(C133:N133)-400000</f>
        <v>54800000</v>
      </c>
      <c r="P133" s="34"/>
      <c r="Q133" s="165">
        <v>1059060</v>
      </c>
      <c r="R133" s="38">
        <v>1103290</v>
      </c>
      <c r="S133" s="2"/>
      <c r="T133" s="153">
        <v>1231937</v>
      </c>
      <c r="U133" s="188">
        <f>+[12]EjecucionPptalPasiva!$Q$324</f>
        <v>10400</v>
      </c>
      <c r="V133" s="20">
        <v>2528458</v>
      </c>
    </row>
    <row r="134" spans="1:22" ht="15.75" thickBot="1" x14ac:dyDescent="0.3">
      <c r="A134" s="5" t="s">
        <v>78</v>
      </c>
      <c r="B134" s="107">
        <v>1440000</v>
      </c>
      <c r="C134" s="84">
        <v>120000</v>
      </c>
      <c r="D134" s="107">
        <f>+[8]Ppto!J90</f>
        <v>100000</v>
      </c>
      <c r="E134" s="115">
        <f>+[8]Ppto!K90</f>
        <v>100000</v>
      </c>
      <c r="F134" s="143">
        <f>+[8]Ppto!L90</f>
        <v>100000</v>
      </c>
      <c r="G134" s="179">
        <f>+[8]Ppto!M90</f>
        <v>100000</v>
      </c>
      <c r="H134" s="46">
        <f>+[8]Ppto!N90</f>
        <v>100000</v>
      </c>
      <c r="I134" s="46">
        <f>+[8]Ppto!O90</f>
        <v>100000</v>
      </c>
      <c r="J134" s="88">
        <f>+'[11]Planeación 2025 P&amp;K (def Mod1)'!$O$45</f>
        <v>120000</v>
      </c>
      <c r="K134" s="115">
        <f>+'[11]Planeación 2025 P&amp;K (def Mod1)'!$O$45</f>
        <v>120000</v>
      </c>
      <c r="L134" s="115">
        <f>+'[11]Planeación 2025 P&amp;K (def Mod1)'!$O$45</f>
        <v>120000</v>
      </c>
      <c r="M134" s="134">
        <f>+'[11]Planeación 2025 P&amp;K (def Mod1)'!$O$45</f>
        <v>120000</v>
      </c>
      <c r="N134" s="145">
        <f t="shared" ref="N134" si="38">+M134</f>
        <v>120000</v>
      </c>
      <c r="O134" s="46">
        <f>+[8]Ppto!O90</f>
        <v>100000</v>
      </c>
      <c r="P134" s="34"/>
      <c r="Q134" s="166"/>
      <c r="R134" s="38"/>
      <c r="S134" s="153"/>
      <c r="T134" s="153">
        <v>46000</v>
      </c>
      <c r="U134" s="188">
        <f>+[12]EjecucionPptalPasiva!$Q$65</f>
        <v>12100</v>
      </c>
      <c r="V134" s="153">
        <v>12900</v>
      </c>
    </row>
    <row r="135" spans="1:22" ht="24" x14ac:dyDescent="0.25">
      <c r="A135" s="56" t="s">
        <v>136</v>
      </c>
      <c r="B135" s="107">
        <v>32500000</v>
      </c>
      <c r="C135" s="4"/>
      <c r="D135" s="88">
        <v>0</v>
      </c>
      <c r="E135" s="4">
        <v>0</v>
      </c>
      <c r="F135" s="118">
        <f>+[8]Ppto!$L$98</f>
        <v>6500000</v>
      </c>
      <c r="G135" s="88">
        <f>+[8]Ppto!M98</f>
        <v>0</v>
      </c>
      <c r="H135" s="88">
        <f>+[8]Ppto!N98*0/100</f>
        <v>0</v>
      </c>
      <c r="I135" s="84"/>
      <c r="J135" s="88">
        <f>+'[11]Planeación 2025 P&amp;K (def Mod1)'!N49</f>
        <v>6500000</v>
      </c>
      <c r="K135" s="115">
        <f>+'[11]Planeación 2025 P&amp;K (def Mod1)'!O49</f>
        <v>0</v>
      </c>
      <c r="L135" s="88">
        <f>+'[11]Planeación 2025 P&amp;K (def Mod1)'!P49</f>
        <v>6500000</v>
      </c>
      <c r="M135" s="103">
        <v>0</v>
      </c>
      <c r="N135" s="145">
        <f>+'[11]Planeación 2025 P&amp;K (def Mod1)'!$T$49</f>
        <v>6500000</v>
      </c>
      <c r="O135" s="4">
        <f>SUM(C135:N135)-12000000</f>
        <v>14000000</v>
      </c>
      <c r="P135" s="34"/>
      <c r="Q135" s="40"/>
      <c r="R135" s="38"/>
      <c r="S135" s="2"/>
      <c r="T135" s="2"/>
      <c r="V135" s="20"/>
    </row>
    <row r="136" spans="1:22" ht="24" x14ac:dyDescent="0.25">
      <c r="A136" s="56" t="s">
        <v>137</v>
      </c>
      <c r="B136" s="46">
        <f>+'[14]Ppto2025 P&amp;K Original'!$F$48</f>
        <v>24000000</v>
      </c>
      <c r="C136" s="4"/>
      <c r="D136" s="4"/>
      <c r="E136" s="4"/>
      <c r="F136" s="4"/>
      <c r="G136" s="4"/>
      <c r="H136" s="4"/>
      <c r="I136" s="4">
        <v>0</v>
      </c>
      <c r="J136" s="84"/>
      <c r="K136" s="4"/>
      <c r="L136" s="4">
        <v>0</v>
      </c>
      <c r="M136" s="103"/>
      <c r="N136" s="4"/>
      <c r="O136" s="4">
        <f t="shared" si="22"/>
        <v>0</v>
      </c>
      <c r="P136" s="34"/>
      <c r="Q136" s="40"/>
      <c r="R136" s="38"/>
      <c r="S136" s="2"/>
      <c r="T136" s="2"/>
      <c r="V136" s="20"/>
    </row>
    <row r="137" spans="1:22" x14ac:dyDescent="0.25">
      <c r="A137" s="72" t="s">
        <v>152</v>
      </c>
      <c r="B137" s="46">
        <v>37500000</v>
      </c>
      <c r="C137" s="4">
        <v>0</v>
      </c>
      <c r="D137" s="107">
        <f>+[8]Ppto!J136</f>
        <v>2000000</v>
      </c>
      <c r="E137" s="115">
        <f>+[8]Ppto!K136</f>
        <v>2000000</v>
      </c>
      <c r="F137" s="143">
        <f>+[8]Ppto!L136</f>
        <v>2000000</v>
      </c>
      <c r="G137" s="179">
        <f>+[8]Ppto!M136</f>
        <v>2000000</v>
      </c>
      <c r="H137" s="46">
        <f>+[8]Ppto!N136</f>
        <v>2000000</v>
      </c>
      <c r="I137" s="46">
        <f>+[8]Ppto!O136</f>
        <v>2000000</v>
      </c>
      <c r="J137" s="88">
        <f>+'[11]Planeación 2025 P&amp;K (def Mod1)'!$O$93</f>
        <v>3500000</v>
      </c>
      <c r="K137" s="115">
        <f>+'[11]Planeación 2025 P&amp;K (def Mod1)'!$O$93</f>
        <v>3500000</v>
      </c>
      <c r="L137" s="115">
        <f>+'[11]Planeación 2025 P&amp;K (def Mod1)'!$O$93</f>
        <v>3500000</v>
      </c>
      <c r="M137" s="134">
        <f>+'[11]Planeación 2025 P&amp;K (def Mod1)'!$O$93</f>
        <v>3500000</v>
      </c>
      <c r="N137" s="145">
        <f>+'[11]Planeación 2025 P&amp;K (def Mod1)'!$O$93</f>
        <v>3500000</v>
      </c>
      <c r="O137" s="4">
        <f>SUM(C137:N137)-63370000</f>
        <v>-33870000</v>
      </c>
      <c r="P137" s="34"/>
      <c r="Q137" s="40"/>
      <c r="R137" s="38"/>
      <c r="S137" s="2"/>
      <c r="T137" s="2"/>
      <c r="V137" s="20"/>
    </row>
    <row r="138" spans="1:22" ht="15.75" thickBot="1" x14ac:dyDescent="0.3">
      <c r="A138" s="21" t="s">
        <v>165</v>
      </c>
      <c r="B138" s="107">
        <v>31000000</v>
      </c>
      <c r="C138" s="4"/>
      <c r="D138" s="84">
        <v>0</v>
      </c>
      <c r="E138" s="51">
        <f>+[8]Ppto!$K$96</f>
        <v>5000000</v>
      </c>
      <c r="F138" s="143">
        <f>+[8]Ppto!L95</f>
        <v>3000000</v>
      </c>
      <c r="G138" s="143">
        <f>+[8]Ppto!M95</f>
        <v>0</v>
      </c>
      <c r="H138" s="46">
        <f>+[8]Ppto!N95+[8]Ppto!$N$96</f>
        <v>5000000</v>
      </c>
      <c r="I138" s="4">
        <v>0</v>
      </c>
      <c r="J138" s="88">
        <v>0</v>
      </c>
      <c r="K138" s="115">
        <f>+'[11]Planeación 2025 P&amp;K (def Mod1)'!$Q$76</f>
        <v>7000000</v>
      </c>
      <c r="L138" s="4">
        <f>+[15]Resumennna!X342</f>
        <v>0</v>
      </c>
      <c r="M138" s="103">
        <f>+[15]Resumennna!Y342</f>
        <v>0</v>
      </c>
      <c r="N138" s="145">
        <f>+'[11]Planeación 2025 P&amp;K (def Mod1)'!$T$76</f>
        <v>7000000</v>
      </c>
      <c r="O138" s="4">
        <f>SUM(C138:N138)+320000</f>
        <v>27320000</v>
      </c>
      <c r="P138" s="34"/>
      <c r="Q138" s="40"/>
      <c r="R138" s="38"/>
      <c r="S138" s="2"/>
      <c r="T138" s="2"/>
      <c r="V138" s="20"/>
    </row>
    <row r="139" spans="1:22" ht="15.75" thickBot="1" x14ac:dyDescent="0.3">
      <c r="A139" s="72" t="s">
        <v>70</v>
      </c>
      <c r="B139" s="46">
        <v>69600000</v>
      </c>
      <c r="C139" s="107">
        <v>5800000</v>
      </c>
      <c r="D139" s="107">
        <v>0</v>
      </c>
      <c r="E139" s="82">
        <f>+[8]Ppto!$K$87</f>
        <v>800000</v>
      </c>
      <c r="F139" s="176">
        <f>+[8]Ppto!K87</f>
        <v>800000</v>
      </c>
      <c r="G139" s="180">
        <f>+[8]Ppto!M87</f>
        <v>800000</v>
      </c>
      <c r="H139" s="184">
        <f>+[8]Ppto!N87</f>
        <v>800000</v>
      </c>
      <c r="I139" s="184">
        <f>+[8]Ppto!O87</f>
        <v>800000</v>
      </c>
      <c r="J139" s="88">
        <f>+'[11]Planeación 2025 P&amp;K (def Mod1)'!$O$96</f>
        <v>5800000</v>
      </c>
      <c r="K139" s="115">
        <f>+'[11]Planeación 2025 P&amp;K (def Mod1)'!$O$96</f>
        <v>5800000</v>
      </c>
      <c r="L139" s="115">
        <f>+'[11]Planeación 2025 P&amp;K (def Mod1)'!$O$96</f>
        <v>5800000</v>
      </c>
      <c r="M139" s="134">
        <f>+'[11]Planeación 2025 P&amp;K (def Mod1)'!$O$96</f>
        <v>5800000</v>
      </c>
      <c r="N139" s="145">
        <f>+M139</f>
        <v>5800000</v>
      </c>
      <c r="O139" s="4">
        <f>SUM(C139:N139)+7456000</f>
        <v>46256000</v>
      </c>
      <c r="P139" s="34"/>
      <c r="Q139" s="40"/>
      <c r="R139" s="38"/>
      <c r="S139" s="2"/>
      <c r="T139" s="159">
        <v>3200000</v>
      </c>
      <c r="V139" s="20"/>
    </row>
    <row r="140" spans="1:22" x14ac:dyDescent="0.25">
      <c r="A140" s="2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>
        <f t="shared" si="22"/>
        <v>0</v>
      </c>
      <c r="P140" s="34"/>
      <c r="Q140" s="40"/>
      <c r="R140" s="38"/>
      <c r="S140" s="2"/>
      <c r="T140" s="2"/>
      <c r="V140" s="20"/>
    </row>
    <row r="141" spans="1:22" x14ac:dyDescent="0.25">
      <c r="A141" s="21" t="s">
        <v>153</v>
      </c>
      <c r="B141" s="46"/>
      <c r="C141" s="4"/>
      <c r="D141" s="4"/>
      <c r="E141" s="4"/>
      <c r="F141" s="65">
        <v>0</v>
      </c>
      <c r="G141" s="65">
        <v>0</v>
      </c>
      <c r="H141" s="65">
        <v>0</v>
      </c>
      <c r="I141" s="65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4">
        <f t="shared" si="22"/>
        <v>0</v>
      </c>
      <c r="P141" s="34"/>
      <c r="Q141" s="40"/>
      <c r="R141" s="38"/>
      <c r="S141" s="2"/>
      <c r="T141" s="2"/>
      <c r="V141" s="20"/>
    </row>
    <row r="142" spans="1:22" x14ac:dyDescent="0.25">
      <c r="A142" s="21" t="s">
        <v>225</v>
      </c>
      <c r="B142" s="46"/>
      <c r="C142" s="4"/>
      <c r="D142" s="107">
        <f>+[8]Ppto!J124</f>
        <v>2000000</v>
      </c>
      <c r="E142" s="115" t="s">
        <v>233</v>
      </c>
      <c r="F142" s="143">
        <f>+[8]Ppto!L124</f>
        <v>2000000</v>
      </c>
      <c r="G142" s="179">
        <f>+[8]Ppto!M124</f>
        <v>2000000</v>
      </c>
      <c r="H142" s="46">
        <f>+[8]Ppto!N124</f>
        <v>2000000</v>
      </c>
      <c r="I142" s="46">
        <f>+[8]Ppto!O124</f>
        <v>2000000</v>
      </c>
      <c r="J142" s="64">
        <v>0</v>
      </c>
      <c r="K142" s="64">
        <v>0</v>
      </c>
      <c r="L142" s="64">
        <v>0</v>
      </c>
      <c r="M142" s="103">
        <f>+F142</f>
        <v>2000000</v>
      </c>
      <c r="N142" s="64">
        <v>0</v>
      </c>
      <c r="O142" s="4">
        <f t="shared" si="22"/>
        <v>12000000</v>
      </c>
      <c r="P142" s="34"/>
      <c r="Q142" s="166"/>
      <c r="R142" s="38"/>
      <c r="S142" s="2"/>
      <c r="T142" s="2"/>
      <c r="V142" s="20"/>
    </row>
    <row r="143" spans="1:22" x14ac:dyDescent="0.25">
      <c r="A143" s="21" t="s">
        <v>154</v>
      </c>
      <c r="B143" s="46"/>
      <c r="C143" s="4"/>
      <c r="D143" s="4"/>
      <c r="E143" s="65">
        <v>0</v>
      </c>
      <c r="F143" s="65">
        <v>0</v>
      </c>
      <c r="G143" s="65">
        <v>0</v>
      </c>
      <c r="H143" s="65">
        <v>0</v>
      </c>
      <c r="I143" s="65">
        <v>0</v>
      </c>
      <c r="J143" s="64">
        <v>0</v>
      </c>
      <c r="K143" s="65">
        <v>0</v>
      </c>
      <c r="L143" s="64">
        <v>0</v>
      </c>
      <c r="M143" s="64">
        <v>0</v>
      </c>
      <c r="N143" s="85">
        <v>0</v>
      </c>
      <c r="O143" s="4">
        <f>SUM(C143:N143)-2500000</f>
        <v>-2500000</v>
      </c>
      <c r="P143" s="34"/>
      <c r="Q143" s="40"/>
      <c r="R143" s="38"/>
      <c r="S143" s="2"/>
      <c r="T143" s="2"/>
      <c r="V143" s="20"/>
    </row>
    <row r="144" spans="1:22" ht="15.75" thickBot="1" x14ac:dyDescent="0.3">
      <c r="A144" s="21" t="s">
        <v>155</v>
      </c>
      <c r="B144" s="46">
        <v>8000000</v>
      </c>
      <c r="C144" s="4"/>
      <c r="D144" s="4"/>
      <c r="E144" s="171">
        <f>+[8]Ppto!$K$158-14367000</f>
        <v>19033000</v>
      </c>
      <c r="F144" s="4"/>
      <c r="G144" s="4"/>
      <c r="H144" s="4"/>
      <c r="I144" s="65">
        <v>0</v>
      </c>
      <c r="J144" s="4"/>
      <c r="K144" s="4"/>
      <c r="L144" s="4"/>
      <c r="M144" s="4"/>
      <c r="N144" s="4"/>
      <c r="O144" s="4">
        <f t="shared" si="22"/>
        <v>19033000</v>
      </c>
      <c r="P144" s="34"/>
      <c r="Q144" s="40"/>
      <c r="R144" s="38"/>
      <c r="S144" s="2"/>
      <c r="T144" s="2"/>
      <c r="V144" s="20"/>
    </row>
    <row r="145" spans="1:22" ht="15.75" thickBot="1" x14ac:dyDescent="0.3">
      <c r="A145" s="21" t="s">
        <v>156</v>
      </c>
      <c r="B145" s="46">
        <v>8000000</v>
      </c>
      <c r="C145" s="4"/>
      <c r="D145" s="4"/>
      <c r="E145" s="4"/>
      <c r="F145" s="4"/>
      <c r="G145" s="88">
        <f>+[8]Ppto!M161</f>
        <v>8000000</v>
      </c>
      <c r="H145" s="88">
        <f>+[8]Ppto!N161</f>
        <v>0</v>
      </c>
      <c r="I145" s="65">
        <v>0</v>
      </c>
      <c r="J145" s="4"/>
      <c r="K145" s="4"/>
      <c r="L145" s="4"/>
      <c r="M145" s="4"/>
      <c r="N145" s="4"/>
      <c r="O145" s="4">
        <f t="shared" si="22"/>
        <v>8000000</v>
      </c>
      <c r="P145" s="34"/>
      <c r="Q145" s="40"/>
      <c r="R145" s="38"/>
      <c r="S145" s="2"/>
      <c r="T145" s="153">
        <v>1054000</v>
      </c>
      <c r="V145" s="20"/>
    </row>
    <row r="146" spans="1:22" x14ac:dyDescent="0.25">
      <c r="A146" s="21" t="s">
        <v>157</v>
      </c>
      <c r="B146" s="46">
        <v>8000000</v>
      </c>
      <c r="C146" s="4"/>
      <c r="D146" s="4"/>
      <c r="E146" s="4"/>
      <c r="F146" s="4"/>
      <c r="G146" s="4"/>
      <c r="H146" s="46">
        <f>+[8]Ppto!$N$160</f>
        <v>6000000</v>
      </c>
      <c r="I146" s="65">
        <v>0</v>
      </c>
      <c r="J146" s="4"/>
      <c r="K146" s="4"/>
      <c r="L146" s="4"/>
      <c r="M146" s="4"/>
      <c r="N146" s="4"/>
      <c r="O146" s="4">
        <f t="shared" si="22"/>
        <v>6000000</v>
      </c>
      <c r="P146" s="34"/>
      <c r="Q146" s="40"/>
      <c r="R146" s="38"/>
      <c r="S146" s="2"/>
      <c r="T146" s="2"/>
      <c r="V146" s="20"/>
    </row>
    <row r="147" spans="1:22" x14ac:dyDescent="0.25">
      <c r="A147" s="21" t="s">
        <v>158</v>
      </c>
      <c r="B147" s="46">
        <v>8000000</v>
      </c>
      <c r="C147" s="4"/>
      <c r="D147" s="4"/>
      <c r="E147" s="4"/>
      <c r="F147" s="4"/>
      <c r="G147" s="4"/>
      <c r="H147" s="4"/>
      <c r="I147" s="125">
        <v>0</v>
      </c>
      <c r="J147" s="4"/>
      <c r="K147" s="4"/>
      <c r="L147" s="4"/>
      <c r="M147" s="4"/>
      <c r="N147" s="147">
        <f>+'[11]Planeación 2025 P&amp;K (def Mod1)'!$T$39</f>
        <v>4000000</v>
      </c>
      <c r="O147" s="4">
        <f>SUM(C147:N147)-20000000</f>
        <v>-16000000</v>
      </c>
      <c r="P147" s="34"/>
      <c r="Q147" s="40"/>
      <c r="R147" s="38"/>
      <c r="S147" s="2"/>
      <c r="T147" s="2"/>
      <c r="V147" s="20"/>
    </row>
    <row r="148" spans="1:22" ht="30" x14ac:dyDescent="0.25">
      <c r="A148" s="21" t="s">
        <v>159</v>
      </c>
      <c r="B148" s="4">
        <v>700000000</v>
      </c>
      <c r="C148" s="4"/>
      <c r="D148" s="4"/>
      <c r="E148" s="4"/>
      <c r="F148" s="143">
        <f>+[8]Ppto!$L$163</f>
        <v>150000000</v>
      </c>
      <c r="G148" s="88">
        <f>+[8]Ppto!M163</f>
        <v>0</v>
      </c>
      <c r="H148" s="88">
        <f>+[8]Ppto!N163</f>
        <v>0</v>
      </c>
      <c r="I148" s="4"/>
      <c r="J148" s="4"/>
      <c r="K148" s="120">
        <f>+'[11]Planeación 2025 P&amp;K (def Mod1)'!$Q$40</f>
        <v>350000000</v>
      </c>
      <c r="L148" s="4"/>
      <c r="M148" s="120">
        <f>+'[11]Planeación 2025 P&amp;K (def Mod1)'!$S$40</f>
        <v>350000000</v>
      </c>
      <c r="N148" s="4"/>
      <c r="O148" s="4">
        <f t="shared" si="22"/>
        <v>850000000</v>
      </c>
      <c r="P148" s="34"/>
      <c r="Q148" s="40"/>
      <c r="R148" s="38"/>
      <c r="S148" s="2"/>
      <c r="T148" s="2"/>
      <c r="V148" s="20"/>
    </row>
    <row r="149" spans="1:22" x14ac:dyDescent="0.25">
      <c r="A149" s="109" t="s">
        <v>188</v>
      </c>
      <c r="B149" s="4">
        <v>12000000</v>
      </c>
      <c r="C149" s="4"/>
      <c r="D149" s="4"/>
      <c r="E149" s="115">
        <f>+[8]Ppto!K165</f>
        <v>2400000</v>
      </c>
      <c r="F149" s="115">
        <f>+[8]Ppto!L165</f>
        <v>0</v>
      </c>
      <c r="G149" s="179">
        <f>+[8]Ppto!M165</f>
        <v>2000000</v>
      </c>
      <c r="H149" s="46">
        <f>+[8]Ppto!N165</f>
        <v>2000000</v>
      </c>
      <c r="I149" s="46">
        <f>+[8]Ppto!O165</f>
        <v>2000000</v>
      </c>
      <c r="J149" s="88">
        <f>+'[11]Planeación 2025 P&amp;K (def Mod1)'!$O$41</f>
        <v>2000000</v>
      </c>
      <c r="K149" s="115">
        <f>+'[11]Planeación 2025 P&amp;K (def Mod1)'!$Q$41</f>
        <v>1600000</v>
      </c>
      <c r="L149" s="4"/>
      <c r="M149" s="4"/>
      <c r="N149" s="4"/>
      <c r="O149" s="4">
        <f>SUM(C149:N149)-15000000</f>
        <v>-3000000</v>
      </c>
      <c r="P149" s="34"/>
      <c r="Q149" s="40"/>
      <c r="R149" s="38"/>
      <c r="S149" s="2"/>
      <c r="T149" s="2"/>
      <c r="V149" s="20"/>
    </row>
    <row r="150" spans="1:22" x14ac:dyDescent="0.25">
      <c r="A150" s="21" t="s">
        <v>33</v>
      </c>
      <c r="B150" s="107">
        <v>4600000</v>
      </c>
      <c r="C150" s="4">
        <v>0</v>
      </c>
      <c r="D150" s="84">
        <v>0</v>
      </c>
      <c r="E150" s="82">
        <v>0</v>
      </c>
      <c r="F150" s="84">
        <v>0</v>
      </c>
      <c r="G150" s="84">
        <v>0</v>
      </c>
      <c r="H150" s="84">
        <v>0</v>
      </c>
      <c r="I150" s="126">
        <v>0</v>
      </c>
      <c r="J150" s="88">
        <f>+'[11]Planeación 2025 P&amp;K (def Mod1)'!$O$46</f>
        <v>400000</v>
      </c>
      <c r="K150" s="115">
        <f>+'[11]Planeación 2025 P&amp;K (def Mod1)'!$O$46</f>
        <v>400000</v>
      </c>
      <c r="L150" s="115">
        <f>+'[11]Planeación 2025 P&amp;K (def Mod1)'!$O$46</f>
        <v>400000</v>
      </c>
      <c r="M150" s="134">
        <f>+'[11]Planeación 2025 P&amp;K (def Mod1)'!$O$46</f>
        <v>400000</v>
      </c>
      <c r="N150" s="145">
        <f t="shared" ref="N150" si="39">+M150</f>
        <v>400000</v>
      </c>
      <c r="O150" s="4">
        <f>SUM(C150:N150)-872000</f>
        <v>1128000</v>
      </c>
      <c r="P150" s="34"/>
      <c r="Q150" s="40"/>
      <c r="R150" s="38"/>
      <c r="S150" s="2"/>
      <c r="T150" s="2"/>
      <c r="V150" s="20"/>
    </row>
    <row r="151" spans="1:22" ht="15.75" thickBot="1" x14ac:dyDescent="0.3">
      <c r="A151" s="72" t="s">
        <v>75</v>
      </c>
      <c r="B151" s="4">
        <v>0</v>
      </c>
      <c r="C151" s="4">
        <v>0</v>
      </c>
      <c r="D151" s="4"/>
      <c r="E151" s="4">
        <v>0</v>
      </c>
      <c r="F151" s="84">
        <v>0</v>
      </c>
      <c r="G151" s="84">
        <v>0</v>
      </c>
      <c r="H151" s="84">
        <v>0</v>
      </c>
      <c r="I151" s="83"/>
      <c r="J151" s="90">
        <v>0</v>
      </c>
      <c r="K151" s="65">
        <v>0</v>
      </c>
      <c r="L151" s="85">
        <v>0</v>
      </c>
      <c r="M151" s="64">
        <v>0</v>
      </c>
      <c r="N151" s="85">
        <v>0</v>
      </c>
      <c r="O151" s="4">
        <f>SUM(C151:N151)-14400000</f>
        <v>-14400000</v>
      </c>
      <c r="P151" s="34"/>
      <c r="Q151" s="40"/>
      <c r="R151" s="38"/>
      <c r="S151" s="2"/>
      <c r="T151" s="2"/>
      <c r="V151" s="20"/>
    </row>
    <row r="152" spans="1:22" ht="15.75" thickBot="1" x14ac:dyDescent="0.3">
      <c r="A152" s="21" t="s">
        <v>68</v>
      </c>
      <c r="B152" s="107">
        <v>60000000</v>
      </c>
      <c r="C152" s="84">
        <v>5000000</v>
      </c>
      <c r="D152" s="107">
        <f>+[8]Ppto!J89</f>
        <v>2000000</v>
      </c>
      <c r="E152" s="115">
        <f>+[8]Ppto!K89</f>
        <v>2000000</v>
      </c>
      <c r="F152" s="143">
        <f>+[8]Ppto!L89</f>
        <v>2000000</v>
      </c>
      <c r="G152" s="179">
        <f>+[8]Ppto!M89</f>
        <v>2000000</v>
      </c>
      <c r="H152" s="46">
        <f>+[8]Ppto!N89</f>
        <v>2000000</v>
      </c>
      <c r="I152" s="46">
        <f>+[8]Ppto!O89</f>
        <v>2000000</v>
      </c>
      <c r="J152" s="88">
        <f>+'[11]Planeación 2025 P&amp;K (def Mod1)'!$O$52</f>
        <v>5000000</v>
      </c>
      <c r="K152" s="115">
        <f>+'[11]Planeación 2025 P&amp;K (def Mod1)'!$O$52</f>
        <v>5000000</v>
      </c>
      <c r="L152" s="115">
        <f>+'[11]Planeación 2025 P&amp;K (def Mod1)'!$O$52</f>
        <v>5000000</v>
      </c>
      <c r="M152" s="134">
        <f>+'[11]Planeación 2025 P&amp;K (def Mod1)'!$O$52</f>
        <v>5000000</v>
      </c>
      <c r="N152" s="145">
        <f t="shared" ref="N152" si="40">+M152</f>
        <v>5000000</v>
      </c>
      <c r="O152" s="46">
        <f>+[8]Ppto!O89</f>
        <v>2000000</v>
      </c>
      <c r="P152" s="34"/>
      <c r="Q152" s="166"/>
      <c r="R152" s="38"/>
      <c r="S152" s="153"/>
      <c r="T152" s="153">
        <v>4565827</v>
      </c>
      <c r="U152" s="188">
        <f>+[12]EjecucionPptalPasiva!$Q$62</f>
        <v>5959767</v>
      </c>
      <c r="V152" s="20">
        <v>7875187</v>
      </c>
    </row>
    <row r="153" spans="1:22" ht="15.75" thickBot="1" x14ac:dyDescent="0.3">
      <c r="A153" s="21" t="s">
        <v>86</v>
      </c>
      <c r="B153" s="46">
        <v>0</v>
      </c>
      <c r="C153" s="4"/>
      <c r="D153" s="107">
        <f>+[8]Ppto!J129</f>
        <v>2750000</v>
      </c>
      <c r="E153" s="115">
        <f>+[8]Ppto!K129</f>
        <v>2750000</v>
      </c>
      <c r="F153" s="143">
        <f>+[8]Ppto!L129</f>
        <v>2750000</v>
      </c>
      <c r="G153" s="179">
        <f>+[8]Ppto!M129</f>
        <v>2750000</v>
      </c>
      <c r="H153" s="46">
        <f>+[8]Ppto!N129</f>
        <v>2750000</v>
      </c>
      <c r="I153" s="46">
        <f>+[8]Ppto!O129</f>
        <v>2750000</v>
      </c>
      <c r="J153" s="88">
        <f>+'[11]Planeación 2025 P&amp;K (def Mod1)'!$P$147</f>
        <v>2750000</v>
      </c>
      <c r="K153" s="115">
        <f>+'[11]Planeación 2025 P&amp;K (def Mod1)'!$P$147</f>
        <v>2750000</v>
      </c>
      <c r="L153" s="115">
        <f>+'[11]Planeación 2025 P&amp;K (def Mod1)'!$P$147</f>
        <v>2750000</v>
      </c>
      <c r="M153" s="134">
        <f>+'[11]Planeación 2025 P&amp;K (def Mod1)'!$P$147</f>
        <v>2750000</v>
      </c>
      <c r="N153" s="145">
        <f>+'[11]Planeación 2025 P&amp;K (def Mod1)'!$P$147</f>
        <v>2750000</v>
      </c>
      <c r="O153" s="4">
        <f t="shared" si="22"/>
        <v>30250000</v>
      </c>
      <c r="P153" s="34"/>
      <c r="Q153" s="165">
        <v>2071066</v>
      </c>
      <c r="R153" s="38"/>
      <c r="S153" s="153"/>
      <c r="T153" s="153">
        <v>1480856</v>
      </c>
      <c r="U153" s="188">
        <f>+[12]EjecucionPptalPasiva!$Q$89</f>
        <v>2033151</v>
      </c>
      <c r="V153" s="20">
        <v>1855713</v>
      </c>
    </row>
    <row r="154" spans="1:22" ht="15.75" thickBot="1" x14ac:dyDescent="0.3">
      <c r="A154" s="72" t="s">
        <v>108</v>
      </c>
      <c r="B154" s="46">
        <v>8000000</v>
      </c>
      <c r="C154" s="4"/>
      <c r="D154" s="78"/>
      <c r="E154" s="4">
        <v>0</v>
      </c>
      <c r="F154" s="4">
        <v>0</v>
      </c>
      <c r="G154" s="88">
        <f>+[8]Ppto!$M$164</f>
        <v>4000000</v>
      </c>
      <c r="H154" s="88">
        <f>+[8]Ppto!N164</f>
        <v>0</v>
      </c>
      <c r="I154" s="84"/>
      <c r="J154" s="93">
        <v>0</v>
      </c>
      <c r="K154" s="115">
        <v>0</v>
      </c>
      <c r="L154" s="129">
        <f>+'[11]Planeación 2025 P&amp;K (def Mod1)'!$R$35</f>
        <v>4000000</v>
      </c>
      <c r="M154" s="103">
        <v>0</v>
      </c>
      <c r="N154" s="84">
        <v>0</v>
      </c>
      <c r="O154" s="4">
        <f>SUM(C154:N154)-6500000</f>
        <v>1500000</v>
      </c>
      <c r="P154" s="34"/>
      <c r="Q154" s="40"/>
      <c r="R154" s="38"/>
      <c r="S154" s="2"/>
      <c r="T154" s="2"/>
      <c r="V154" s="20"/>
    </row>
    <row r="155" spans="1:22" ht="15.75" thickBot="1" x14ac:dyDescent="0.3">
      <c r="A155" s="5" t="s">
        <v>76</v>
      </c>
      <c r="B155" s="107">
        <v>7200000</v>
      </c>
      <c r="C155" s="4">
        <v>0</v>
      </c>
      <c r="D155" s="162">
        <f>+[8]Ppto!J84</f>
        <v>1400000</v>
      </c>
      <c r="E155" s="123">
        <f>+[8]Ppto!K84</f>
        <v>1400000</v>
      </c>
      <c r="F155" s="177">
        <f>+[8]Ppto!L84</f>
        <v>1430000</v>
      </c>
      <c r="G155" s="181">
        <f>+[8]Ppto!M84</f>
        <v>1400000</v>
      </c>
      <c r="H155" s="185">
        <f>+[8]Ppto!N84</f>
        <v>1400000</v>
      </c>
      <c r="I155" s="185">
        <f>+[8]Ppto!O84</f>
        <v>1400000</v>
      </c>
      <c r="J155" s="88">
        <f>+'[11]Planeación 2025 P&amp;K (def Mod1)'!$P$68</f>
        <v>800000</v>
      </c>
      <c r="K155" s="115">
        <f>+'[11]Planeación 2025 P&amp;K (def Mod1)'!$P$68</f>
        <v>800000</v>
      </c>
      <c r="L155" s="129">
        <f>+'[11]Planeación 2025 P&amp;K (def Mod1)'!$P$68</f>
        <v>800000</v>
      </c>
      <c r="M155" s="134">
        <f>+'[11]Planeación 2025 P&amp;K (def Mod1)'!$P$68</f>
        <v>800000</v>
      </c>
      <c r="N155" s="145">
        <f>+'[11]Planeación 2025 P&amp;K (def Mod1)'!$P$68</f>
        <v>800000</v>
      </c>
      <c r="O155" s="185">
        <f>+[8]Ppto!O84</f>
        <v>1400000</v>
      </c>
      <c r="P155" s="34"/>
      <c r="Q155" s="166"/>
      <c r="R155" s="38"/>
      <c r="S155" s="2"/>
      <c r="T155" s="2"/>
      <c r="U155" s="68">
        <f>+[12]EjecucionPptalPasiva!$Q$53</f>
        <v>0</v>
      </c>
      <c r="V155" s="183">
        <v>3450000</v>
      </c>
    </row>
    <row r="156" spans="1:22" ht="15.75" thickBot="1" x14ac:dyDescent="0.3">
      <c r="A156" s="5" t="s">
        <v>189</v>
      </c>
      <c r="B156" s="4">
        <v>752695959</v>
      </c>
      <c r="C156" s="4">
        <v>0</v>
      </c>
      <c r="D156" s="4"/>
      <c r="E156" s="4">
        <v>0</v>
      </c>
      <c r="F156" s="84">
        <v>0</v>
      </c>
      <c r="G156" s="84">
        <v>0</v>
      </c>
      <c r="H156" s="84">
        <v>0</v>
      </c>
      <c r="I156" s="4">
        <v>0</v>
      </c>
      <c r="J156" s="88">
        <v>0</v>
      </c>
      <c r="K156" s="4">
        <f>+[15]Resumennna!W318</f>
        <v>0</v>
      </c>
      <c r="L156" s="4">
        <f>+[15]Resumennna!X318</f>
        <v>0</v>
      </c>
      <c r="M156" s="103">
        <v>0</v>
      </c>
      <c r="N156" s="4">
        <f>+[15]Resumennna!Z318</f>
        <v>0</v>
      </c>
      <c r="O156" s="4">
        <f t="shared" si="22"/>
        <v>0</v>
      </c>
      <c r="P156" s="34"/>
      <c r="Q156" s="40"/>
      <c r="R156" s="38"/>
      <c r="S156" s="2"/>
      <c r="T156" s="2"/>
      <c r="V156" s="20"/>
    </row>
    <row r="157" spans="1:22" ht="15.75" thickBot="1" x14ac:dyDescent="0.3">
      <c r="A157" s="158" t="s">
        <v>135</v>
      </c>
      <c r="B157" s="51">
        <v>105600000</v>
      </c>
      <c r="C157" s="51">
        <v>6800000</v>
      </c>
      <c r="D157" s="51">
        <f>+[8]Ppto!J97*14.5/100</f>
        <v>870000</v>
      </c>
      <c r="E157" s="115">
        <f>+[8]Ppto!K97*14.5/100</f>
        <v>870000</v>
      </c>
      <c r="F157" s="143">
        <f>+[8]Ppto!L97*14.5/100</f>
        <v>870000</v>
      </c>
      <c r="G157" s="179">
        <f>+[8]Ppto!M97*14.5/100</f>
        <v>870000</v>
      </c>
      <c r="H157" s="51">
        <f>+[8]Ppto!N97*14.5/100</f>
        <v>870000</v>
      </c>
      <c r="I157" s="51">
        <f>+[8]Ppto!O97*14.5/100</f>
        <v>870000</v>
      </c>
      <c r="J157" s="51">
        <f>+'[11]Planeación 2025 P&amp;K (def Mod1)'!$O$47</f>
        <v>6800000</v>
      </c>
      <c r="K157" s="51">
        <f>+'[11]Planeación 2025 P&amp;K (def Mod1)'!$O$47</f>
        <v>6800000</v>
      </c>
      <c r="L157" s="51">
        <f>+'[11]Planeación 2025 P&amp;K (def Mod1)'!$O$47</f>
        <v>6800000</v>
      </c>
      <c r="M157" s="51">
        <f>+'[11]Planeación 2025 P&amp;K (def Mod1)'!$O$47+'[11]Planeación 2025 P&amp;K (def Mod1)'!$S$48</f>
        <v>9800000</v>
      </c>
      <c r="N157" s="51">
        <f>+'[11]Planeación 2025 P&amp;K (def Mod1)'!$O$47+'[11]Planeación 2025 P&amp;K (def Mod1)'!$S$48</f>
        <v>9800000</v>
      </c>
      <c r="O157" s="51">
        <f>SUM(C157:N157)-19662000</f>
        <v>32358000</v>
      </c>
      <c r="P157" s="34"/>
      <c r="Q157" s="165">
        <v>1962130</v>
      </c>
      <c r="R157" s="38"/>
      <c r="S157" s="153"/>
      <c r="T157" s="153">
        <v>940476</v>
      </c>
      <c r="U157" s="188">
        <f>+[12]EjecucionPptalPasiva!$Q$58+[12]EjecucionPptalPasiva!$Q$316</f>
        <v>1411050</v>
      </c>
      <c r="V157" s="20">
        <v>267183</v>
      </c>
    </row>
    <row r="158" spans="1:22" x14ac:dyDescent="0.25">
      <c r="A158" s="5" t="s">
        <v>83</v>
      </c>
      <c r="B158" s="107">
        <v>1200000</v>
      </c>
      <c r="C158" s="84">
        <v>100000</v>
      </c>
      <c r="D158" s="107">
        <f>+[8]Ppto!J88</f>
        <v>100000</v>
      </c>
      <c r="E158" s="115">
        <f>+[8]Ppto!K88</f>
        <v>100000</v>
      </c>
      <c r="F158" s="143">
        <f>+[8]Ppto!L88</f>
        <v>100000</v>
      </c>
      <c r="G158" s="179">
        <f>+[8]Ppto!M88</f>
        <v>100000</v>
      </c>
      <c r="H158" s="46">
        <f>+[8]Ppto!N88</f>
        <v>100000</v>
      </c>
      <c r="I158" s="46">
        <f>+[8]Ppto!O88</f>
        <v>100000</v>
      </c>
      <c r="J158" s="88">
        <f>+'[11]Planeación 2025 P&amp;K (def Mod1)'!$O$51</f>
        <v>100000</v>
      </c>
      <c r="K158" s="115">
        <f>+'[11]Planeación 2025 P&amp;K (def Mod1)'!$O$51</f>
        <v>100000</v>
      </c>
      <c r="L158" s="129">
        <f>+'[11]Planeación 2025 P&amp;K (def Mod1)'!$O$51</f>
        <v>100000</v>
      </c>
      <c r="M158" s="134">
        <f>+'[11]Planeación 2025 P&amp;K (def Mod1)'!$O$51</f>
        <v>100000</v>
      </c>
      <c r="N158" s="145">
        <f t="shared" ref="N158" si="41">+M158</f>
        <v>100000</v>
      </c>
      <c r="O158" s="46">
        <f>+'[11]Planeación 2025 P&amp;K (def Mod1)'!$O$51</f>
        <v>100000</v>
      </c>
      <c r="P158" s="34"/>
      <c r="Q158" s="166"/>
      <c r="R158" s="38"/>
      <c r="S158" s="2"/>
      <c r="T158" s="2"/>
      <c r="U158" s="188">
        <f>+[12]EjecucionPptalPasiva!$Q$63</f>
        <v>350000</v>
      </c>
      <c r="V158" s="20"/>
    </row>
    <row r="159" spans="1:22" ht="15.75" thickBot="1" x14ac:dyDescent="0.3">
      <c r="A159" s="5" t="s">
        <v>56</v>
      </c>
      <c r="B159" s="46">
        <v>0</v>
      </c>
      <c r="C159" s="4"/>
      <c r="D159" s="107">
        <f>+[8]Ppto!J130</f>
        <v>2500000</v>
      </c>
      <c r="E159" s="115">
        <f>+[8]Ppto!K130</f>
        <v>2500000</v>
      </c>
      <c r="F159" s="143">
        <f>+[8]Ppto!L130</f>
        <v>2500000</v>
      </c>
      <c r="G159" s="179">
        <f>+[8]Ppto!M130</f>
        <v>2500000</v>
      </c>
      <c r="H159" s="46">
        <f>+[8]Ppto!N130</f>
        <v>2500000</v>
      </c>
      <c r="I159" s="46">
        <f>+[8]Ppto!O130</f>
        <v>2500000</v>
      </c>
      <c r="J159" s="88">
        <f>+'[11]Planeación 2025 P&amp;K (def Mod1)'!$O$148</f>
        <v>1500000</v>
      </c>
      <c r="K159" s="115">
        <f>+'[11]Planeación 2025 P&amp;K (def Mod1)'!$O$148</f>
        <v>1500000</v>
      </c>
      <c r="L159" s="129">
        <f>+'[11]Planeación 2025 P&amp;K (def Mod1)'!$O$148</f>
        <v>1500000</v>
      </c>
      <c r="M159" s="134">
        <f>+'[11]Planeación 2025 P&amp;K (def Mod1)'!$O$148</f>
        <v>1500000</v>
      </c>
      <c r="N159" s="145">
        <f>+'[11]Planeación 2025 P&amp;K (def Mod1)'!$O$148</f>
        <v>1500000</v>
      </c>
      <c r="O159" s="4">
        <f t="shared" si="22"/>
        <v>22500000</v>
      </c>
      <c r="P159" s="34"/>
      <c r="Q159" s="166"/>
      <c r="R159" s="38"/>
      <c r="S159" s="2"/>
      <c r="T159" s="2"/>
      <c r="V159" s="20"/>
    </row>
    <row r="160" spans="1:22" ht="15.75" thickBot="1" x14ac:dyDescent="0.3">
      <c r="A160" s="5" t="s">
        <v>38</v>
      </c>
      <c r="B160" s="107">
        <v>34164000</v>
      </c>
      <c r="C160" s="88">
        <v>2847000</v>
      </c>
      <c r="D160" s="107">
        <f>+[8]Ppto!J11</f>
        <v>2992500</v>
      </c>
      <c r="E160" s="115">
        <f>+[8]Ppto!K11</f>
        <v>2992500</v>
      </c>
      <c r="F160" s="143">
        <f>+[8]Ppto!L11</f>
        <v>2992500</v>
      </c>
      <c r="G160" s="179">
        <f>+[8]Ppto!M11</f>
        <v>2992500</v>
      </c>
      <c r="H160" s="46">
        <f>+[8]Ppto!N11</f>
        <v>2992500</v>
      </c>
      <c r="I160" s="46">
        <f>+[8]Ppto!O11</f>
        <v>2992500</v>
      </c>
      <c r="J160" s="88">
        <f>+'[11]Planeación 2025 P&amp;K (def Mod1)'!P42</f>
        <v>2847000</v>
      </c>
      <c r="K160" s="115">
        <f>+'[11]Planeación 2025 P&amp;K (def Mod1)'!Q42</f>
        <v>2847000</v>
      </c>
      <c r="L160" s="129">
        <f>+'[11]Planeación 2025 P&amp;K (def Mod1)'!R42</f>
        <v>2847000</v>
      </c>
      <c r="M160" s="134">
        <f>+'[11]Planeación 2025 P&amp;K (def Mod1)'!S42</f>
        <v>2847000</v>
      </c>
      <c r="N160" s="145">
        <f t="shared" ref="N160:N161" si="42">+M160</f>
        <v>2847000</v>
      </c>
      <c r="O160" s="4">
        <f t="shared" si="22"/>
        <v>35037000</v>
      </c>
      <c r="P160" s="34"/>
      <c r="Q160" s="165">
        <v>2992500</v>
      </c>
      <c r="R160" s="38"/>
      <c r="S160" s="153"/>
      <c r="T160" s="153">
        <v>2992500</v>
      </c>
      <c r="U160" s="188">
        <f>+[12]EjecucionPptalPasiva!$Q$78</f>
        <v>2992500</v>
      </c>
      <c r="V160" s="20">
        <v>2992500</v>
      </c>
    </row>
    <row r="161" spans="1:23" ht="15.75" thickBot="1" x14ac:dyDescent="0.3">
      <c r="A161" s="5" t="s">
        <v>39</v>
      </c>
      <c r="B161" s="107">
        <v>196934400</v>
      </c>
      <c r="C161" s="84">
        <v>16411200</v>
      </c>
      <c r="D161" s="107">
        <f>+[8]Ppto!J18</f>
        <v>17248171.199999999</v>
      </c>
      <c r="E161" s="115">
        <f>+[8]Ppto!K18</f>
        <v>17248171.199999999</v>
      </c>
      <c r="F161" s="143">
        <f>+[8]Ppto!L18</f>
        <v>17248171.199999999</v>
      </c>
      <c r="G161" s="179">
        <f>+[8]Ppto!M18</f>
        <v>17248171.199999999</v>
      </c>
      <c r="H161" s="46">
        <f>+[8]Ppto!N18</f>
        <v>17248171.199999999</v>
      </c>
      <c r="I161" s="46">
        <f>+[8]Ppto!O18</f>
        <v>17248171.199999999</v>
      </c>
      <c r="J161" s="88">
        <f>+'[11]Planeación 2025 P&amp;K (def Mod1)'!P43</f>
        <v>16411200</v>
      </c>
      <c r="K161" s="115">
        <f>+'[11]Planeación 2025 P&amp;K (def Mod1)'!Q43</f>
        <v>16411200</v>
      </c>
      <c r="L161" s="129">
        <f>+'[11]Planeación 2025 P&amp;K (def Mod1)'!R43</f>
        <v>16411200</v>
      </c>
      <c r="M161" s="134">
        <f>+'[11]Planeación 2025 P&amp;K (def Mod1)'!S43</f>
        <v>16411200</v>
      </c>
      <c r="N161" s="145">
        <f t="shared" si="42"/>
        <v>16411200</v>
      </c>
      <c r="O161" s="4">
        <f>SUM(C161:N161)-52364800</f>
        <v>149591427.20000002</v>
      </c>
      <c r="P161" s="34"/>
      <c r="Q161" s="165">
        <v>17248171</v>
      </c>
      <c r="R161" s="38"/>
      <c r="S161" s="153"/>
      <c r="T161" s="153">
        <v>17248171</v>
      </c>
      <c r="U161" s="188">
        <f>+[12]EjecucionPptalPasiva!$Q$75</f>
        <v>17248171</v>
      </c>
      <c r="V161" s="183">
        <v>17248171</v>
      </c>
    </row>
    <row r="162" spans="1:23" x14ac:dyDescent="0.25">
      <c r="A162" s="5" t="s">
        <v>224</v>
      </c>
      <c r="B162" s="107"/>
      <c r="C162" s="84"/>
      <c r="D162" s="107">
        <f>+[8]Ppto!J108</f>
        <v>20000000</v>
      </c>
      <c r="E162" s="115">
        <f>+[8]Ppto!K108</f>
        <v>20000000</v>
      </c>
      <c r="F162" s="143">
        <f>+[8]Ppto!L108</f>
        <v>20000000</v>
      </c>
      <c r="G162" s="179">
        <f>+[8]Ppto!M108</f>
        <v>20000000</v>
      </c>
      <c r="H162" s="46">
        <f>+[8]Ppto!N108</f>
        <v>20000000</v>
      </c>
      <c r="I162" s="46">
        <f>+[8]Ppto!O108</f>
        <v>20000000</v>
      </c>
      <c r="J162" s="88">
        <v>0</v>
      </c>
      <c r="K162" s="84">
        <v>0</v>
      </c>
      <c r="L162" s="4"/>
      <c r="M162" s="4"/>
      <c r="N162" s="82"/>
      <c r="O162" s="4"/>
      <c r="P162" s="34"/>
      <c r="Q162" s="40"/>
      <c r="R162" s="38"/>
      <c r="S162" s="2"/>
      <c r="T162" s="2"/>
      <c r="V162" s="20"/>
    </row>
    <row r="163" spans="1:23" x14ac:dyDescent="0.25">
      <c r="A163" s="12" t="s">
        <v>53</v>
      </c>
      <c r="B163" s="8">
        <f t="shared" ref="B163:N163" si="43">SUM(B101:B161)</f>
        <v>3995814481.3661299</v>
      </c>
      <c r="C163" s="8">
        <f t="shared" si="43"/>
        <v>136552126.86384416</v>
      </c>
      <c r="D163" s="8">
        <f t="shared" ref="D163:I163" si="44">SUM(D101:D162)</f>
        <v>208803569.50671259</v>
      </c>
      <c r="E163" s="8">
        <f t="shared" si="44"/>
        <v>199516569.50671259</v>
      </c>
      <c r="F163" s="8">
        <f t="shared" si="44"/>
        <v>366157569.50671262</v>
      </c>
      <c r="G163" s="8">
        <f t="shared" si="44"/>
        <v>206387969.50671259</v>
      </c>
      <c r="H163" s="8">
        <f t="shared" si="44"/>
        <v>194977569.50671259</v>
      </c>
      <c r="I163" s="8">
        <f t="shared" si="44"/>
        <v>186827569.50671259</v>
      </c>
      <c r="J163" s="8">
        <f t="shared" si="43"/>
        <v>244729398.3067126</v>
      </c>
      <c r="K163" s="8">
        <f t="shared" si="43"/>
        <v>528279398.30671263</v>
      </c>
      <c r="L163" s="8">
        <f t="shared" si="43"/>
        <v>188979398.3067126</v>
      </c>
      <c r="M163" s="8">
        <f t="shared" si="43"/>
        <v>548579398.30671263</v>
      </c>
      <c r="N163" s="8">
        <f t="shared" si="43"/>
        <v>203729398.3067126</v>
      </c>
      <c r="O163" s="8">
        <f>SUM(O101:O161)</f>
        <v>2443443162.4376826</v>
      </c>
      <c r="P163" s="34"/>
      <c r="Q163" s="8">
        <f>SUM(Q101:Q162)+'2026Ej'!G32+'2026Ej'!G46</f>
        <v>136407878.02000001</v>
      </c>
      <c r="R163" s="39"/>
      <c r="S163" s="2"/>
      <c r="T163" s="8">
        <f t="shared" ref="T163" si="45">SUM(T101:T162)</f>
        <v>72263842</v>
      </c>
      <c r="U163" s="8">
        <f t="shared" ref="U163" si="46">SUM(U101:U162)</f>
        <v>125131834.00000003</v>
      </c>
      <c r="V163" s="8">
        <f t="shared" ref="V163" si="47">SUM(V101:V162)</f>
        <v>134643339</v>
      </c>
    </row>
    <row r="164" spans="1:23" s="1" customFormat="1" x14ac:dyDescent="0.25">
      <c r="A164" s="12" t="s">
        <v>62</v>
      </c>
      <c r="B164" s="15">
        <f t="shared" ref="B164:O164" si="48">+B163+B100+B63</f>
        <v>8457718427.8061295</v>
      </c>
      <c r="C164" s="15">
        <f t="shared" si="48"/>
        <v>431613305.73384416</v>
      </c>
      <c r="D164" s="15">
        <f t="shared" si="48"/>
        <v>513370748.37671256</v>
      </c>
      <c r="E164" s="15">
        <f>+E163+E100+E63</f>
        <v>601944748.37671256</v>
      </c>
      <c r="F164" s="15">
        <f t="shared" si="48"/>
        <v>756124748.37671268</v>
      </c>
      <c r="G164" s="15">
        <f t="shared" si="48"/>
        <v>581555148.37671256</v>
      </c>
      <c r="H164" s="15">
        <f t="shared" si="48"/>
        <v>560644748.37671256</v>
      </c>
      <c r="I164" s="15">
        <f>+I163+I100+I63</f>
        <v>532544748.37671256</v>
      </c>
      <c r="J164" s="15">
        <f t="shared" si="48"/>
        <v>634732577.17671263</v>
      </c>
      <c r="K164" s="15">
        <f t="shared" si="48"/>
        <v>863282577.17671263</v>
      </c>
      <c r="L164" s="15">
        <f t="shared" si="48"/>
        <v>570482577.17671263</v>
      </c>
      <c r="M164" s="15">
        <f>+M163+M100+M63</f>
        <v>876082577.17671263</v>
      </c>
      <c r="N164" s="15">
        <f t="shared" si="48"/>
        <v>568732577.17671263</v>
      </c>
      <c r="O164" s="15">
        <f t="shared" si="48"/>
        <v>5134313320.4076824</v>
      </c>
      <c r="P164" s="34">
        <f>+D164-'2026Ej'!F90</f>
        <v>0</v>
      </c>
      <c r="Q164" s="40"/>
      <c r="R164" s="40"/>
      <c r="S164" s="2"/>
      <c r="T164" s="2"/>
      <c r="U164" s="15">
        <f t="shared" ref="U164" si="49">+U163+U100+U63</f>
        <v>403388655</v>
      </c>
      <c r="V164" s="15">
        <f>+V163+V100+V63</f>
        <v>322327087</v>
      </c>
    </row>
    <row r="165" spans="1:23" ht="19.5" thickBot="1" x14ac:dyDescent="0.3">
      <c r="A165" s="13" t="s">
        <v>0</v>
      </c>
      <c r="B165" s="9">
        <f t="shared" ref="B165:O165" si="50">+B15-B164</f>
        <v>-1747753801.1704311</v>
      </c>
      <c r="C165" s="9">
        <f t="shared" si="50"/>
        <v>-238382064.50959846</v>
      </c>
      <c r="D165" s="9">
        <f t="shared" si="50"/>
        <v>-322727238.37671256</v>
      </c>
      <c r="E165" s="9">
        <f t="shared" si="50"/>
        <v>-411301238.37671256</v>
      </c>
      <c r="F165" s="9">
        <f t="shared" si="50"/>
        <v>-557393507.15246701</v>
      </c>
      <c r="G165" s="9">
        <f t="shared" si="50"/>
        <v>-382823907.15246689</v>
      </c>
      <c r="H165" s="9">
        <f t="shared" si="50"/>
        <v>-361913507.15246689</v>
      </c>
      <c r="I165" s="9">
        <f t="shared" si="50"/>
        <v>-333813507.15246689</v>
      </c>
      <c r="J165" s="9">
        <f t="shared" si="50"/>
        <v>1470277795.9975333</v>
      </c>
      <c r="K165" s="9">
        <f t="shared" si="50"/>
        <v>-664551335.95246696</v>
      </c>
      <c r="L165" s="9">
        <f t="shared" si="50"/>
        <v>-371751335.95246696</v>
      </c>
      <c r="M165" s="9">
        <f t="shared" si="50"/>
        <v>-677351335.95246696</v>
      </c>
      <c r="N165" s="9">
        <f t="shared" si="50"/>
        <v>-370001335.95246696</v>
      </c>
      <c r="O165" s="9">
        <f t="shared" si="50"/>
        <v>-864934756.21522522</v>
      </c>
      <c r="P165" s="34"/>
      <c r="Q165" s="41"/>
      <c r="R165" s="41"/>
      <c r="S165" s="2"/>
      <c r="T165" s="2"/>
      <c r="V165" s="20"/>
    </row>
    <row r="166" spans="1:23" x14ac:dyDescent="0.25">
      <c r="C166" s="2">
        <f>+C164</f>
        <v>431613305.73384416</v>
      </c>
      <c r="D166" s="2">
        <f>+C166+D164</f>
        <v>944984054.11055672</v>
      </c>
      <c r="E166" s="2">
        <f t="shared" ref="E166:L166" si="51">+D166+E164</f>
        <v>1546928802.4872694</v>
      </c>
      <c r="F166" s="2">
        <f t="shared" si="51"/>
        <v>2303053550.8639822</v>
      </c>
      <c r="G166" s="2">
        <f t="shared" si="51"/>
        <v>2884608699.240695</v>
      </c>
      <c r="H166" s="2">
        <f>+G166+H164</f>
        <v>3445253447.6174078</v>
      </c>
      <c r="I166" s="2">
        <f t="shared" si="51"/>
        <v>3977798195.9941206</v>
      </c>
      <c r="J166" s="2">
        <f t="shared" si="51"/>
        <v>4612530773.1708336</v>
      </c>
      <c r="K166" s="2">
        <f t="shared" si="51"/>
        <v>5475813350.3475466</v>
      </c>
      <c r="L166" s="2">
        <f t="shared" si="51"/>
        <v>6046295927.5242596</v>
      </c>
      <c r="M166" s="2">
        <f t="shared" ref="M166" si="52">+L166+M164</f>
        <v>6922378504.7009726</v>
      </c>
      <c r="N166" s="2">
        <f>+M166+N164</f>
        <v>7491111081.8776855</v>
      </c>
      <c r="P166" s="34"/>
      <c r="Q166" s="2">
        <f>-[8]Ppto!$K$166</f>
        <v>-603944748.37671256</v>
      </c>
      <c r="R166" s="2">
        <f>+Q166+E164</f>
        <v>-2000000</v>
      </c>
      <c r="T166" s="2"/>
      <c r="V166" s="20"/>
    </row>
    <row r="167" spans="1:23" x14ac:dyDescent="0.25">
      <c r="B167" s="2"/>
      <c r="E167" s="2"/>
      <c r="G167" s="2"/>
      <c r="H167" s="2"/>
      <c r="I167" s="2"/>
      <c r="J167" s="2"/>
      <c r="K167" s="94"/>
      <c r="M167">
        <f>+N167/2</f>
        <v>-483303672.96422195</v>
      </c>
      <c r="N167" s="2">
        <f>+N166-B164</f>
        <v>-966607345.92844391</v>
      </c>
      <c r="P167" s="34"/>
      <c r="Q167" s="2"/>
      <c r="T167" s="2"/>
      <c r="V167" s="20"/>
      <c r="W167" s="2"/>
    </row>
    <row r="168" spans="1:23" x14ac:dyDescent="0.25">
      <c r="B168" s="2">
        <f>+[17]EjecucionPptalPasiva!$E$391</f>
        <v>752695959</v>
      </c>
      <c r="C168" s="3">
        <f>+[8]Ppto!$I$166</f>
        <v>437569994.49185961</v>
      </c>
      <c r="D168" s="3">
        <f>+[8]Ppto!$J$166</f>
        <v>513370748.37671262</v>
      </c>
      <c r="E168" s="3">
        <f>+'[18]202401anual'!E147</f>
        <v>1825275149.2311568</v>
      </c>
      <c r="F168" s="3">
        <f>+'[18]202401anual'!F147</f>
        <v>2271612247.0542092</v>
      </c>
      <c r="G168" s="3">
        <f>+'[18]202401anual'!G147</f>
        <v>3020240251.7105951</v>
      </c>
      <c r="H168" s="3">
        <f>+'[18]202401anual'!H147</f>
        <v>3751370656.366981</v>
      </c>
      <c r="I168" s="3">
        <f>+'[18]202401anual'!I147</f>
        <v>4658391579.0233669</v>
      </c>
      <c r="J168" s="3">
        <f>+'[18]202401anual'!J147</f>
        <v>5449407383.6833076</v>
      </c>
      <c r="K168" s="3">
        <f>+'[18]202401anual'!K147</f>
        <v>7842356588.3432484</v>
      </c>
      <c r="L168" s="3">
        <f>+'[18]202401anual'!L147</f>
        <v>0</v>
      </c>
      <c r="N168" s="2">
        <f>+N167-O164</f>
        <v>-6100920666.3361263</v>
      </c>
      <c r="P168" s="34"/>
      <c r="T168" s="2"/>
      <c r="V168" s="20"/>
      <c r="W168" s="2"/>
    </row>
    <row r="169" spans="1:23" x14ac:dyDescent="0.25">
      <c r="B169" s="2">
        <f>+[17]EjecucionPptalPasiva!$E$391+'[14]Ppto2025 P&amp;K Original'!$F$157</f>
        <v>1052695959</v>
      </c>
      <c r="C169" s="2">
        <f>+C168-C166</f>
        <v>5956688.7580154538</v>
      </c>
      <c r="D169" s="2">
        <f>+D164-D168</f>
        <v>0</v>
      </c>
      <c r="E169" s="2">
        <f t="shared" ref="E169:L169" si="53">+E168-E166</f>
        <v>278346346.74388742</v>
      </c>
      <c r="F169" s="2">
        <f t="shared" si="53"/>
        <v>-31441303.809772968</v>
      </c>
      <c r="G169" s="2">
        <f t="shared" si="53"/>
        <v>135631552.46990013</v>
      </c>
      <c r="H169" s="2">
        <f t="shared" si="53"/>
        <v>306117208.74957323</v>
      </c>
      <c r="I169" s="2">
        <f t="shared" si="53"/>
        <v>680593383.02924633</v>
      </c>
      <c r="J169" s="2">
        <f t="shared" si="53"/>
        <v>836876610.51247406</v>
      </c>
      <c r="K169" s="2">
        <f t="shared" si="53"/>
        <v>2366543237.9957018</v>
      </c>
      <c r="L169" s="2">
        <f t="shared" si="53"/>
        <v>-6046295927.5242596</v>
      </c>
      <c r="N169" s="2">
        <f>+N168/10</f>
        <v>-610092066.63361263</v>
      </c>
      <c r="P169" s="34"/>
      <c r="Q169" s="2"/>
      <c r="T169" s="2"/>
      <c r="V169" s="20"/>
    </row>
    <row r="170" spans="1:23" x14ac:dyDescent="0.25">
      <c r="B170" s="2"/>
      <c r="G170" s="2"/>
      <c r="H170" s="2"/>
      <c r="J170" s="2"/>
      <c r="P170" s="34"/>
      <c r="T170" s="2"/>
      <c r="U170" s="68">
        <v>371527244</v>
      </c>
      <c r="V170" s="20">
        <f>+U170+T170</f>
        <v>371527244</v>
      </c>
    </row>
    <row r="171" spans="1:23" x14ac:dyDescent="0.25">
      <c r="B171" s="2">
        <f>+B169-B164</f>
        <v>-7405022468.8061295</v>
      </c>
      <c r="D171" s="2"/>
      <c r="H171" s="2"/>
      <c r="J171" s="2"/>
      <c r="M171">
        <v>656363394</v>
      </c>
      <c r="N171" s="2">
        <v>784916275</v>
      </c>
      <c r="O171" s="2">
        <f>+N171-N164</f>
        <v>216183697.82328737</v>
      </c>
      <c r="P171" s="34"/>
      <c r="T171" s="2"/>
      <c r="V171" s="20"/>
    </row>
    <row r="172" spans="1:23" x14ac:dyDescent="0.25">
      <c r="B172">
        <f>+[19]EjecucionPptalPasiva!$K$16</f>
        <v>7449706778</v>
      </c>
      <c r="C172" s="2">
        <f>+C164</f>
        <v>431613305.73384416</v>
      </c>
      <c r="D172" s="2">
        <f>+C172+D164</f>
        <v>944984054.11055672</v>
      </c>
      <c r="E172" s="2">
        <f t="shared" ref="E172:N172" si="54">+D172+E164</f>
        <v>1546928802.4872694</v>
      </c>
      <c r="F172" s="2">
        <f t="shared" si="54"/>
        <v>2303053550.8639822</v>
      </c>
      <c r="G172" s="2">
        <f t="shared" si="54"/>
        <v>2884608699.240695</v>
      </c>
      <c r="H172" s="2">
        <f>+G172+H164</f>
        <v>3445253447.6174078</v>
      </c>
      <c r="I172" s="2">
        <f t="shared" si="54"/>
        <v>3977798195.9941206</v>
      </c>
      <c r="J172" s="2">
        <f t="shared" si="54"/>
        <v>4612530773.1708336</v>
      </c>
      <c r="K172" s="2">
        <f t="shared" si="54"/>
        <v>5475813350.3475466</v>
      </c>
      <c r="L172" s="2">
        <f t="shared" si="54"/>
        <v>6046295927.5242596</v>
      </c>
      <c r="M172" s="2">
        <f t="shared" si="54"/>
        <v>6922378504.7009726</v>
      </c>
      <c r="N172" s="2">
        <f t="shared" si="54"/>
        <v>7491111081.8776855</v>
      </c>
      <c r="P172" s="34"/>
      <c r="T172" s="2"/>
      <c r="V172" s="20"/>
    </row>
    <row r="173" spans="1:23" x14ac:dyDescent="0.25">
      <c r="B173" s="2">
        <f>+B172-B164</f>
        <v>-1008011649.8061295</v>
      </c>
      <c r="C173" s="3">
        <f>+'2026Ej'!C90</f>
        <v>437569994.49666667</v>
      </c>
      <c r="D173" s="3">
        <f>+'2026Ej'!F90</f>
        <v>513370748.37671262</v>
      </c>
      <c r="E173" s="3">
        <f>+'2026Ej'!I90</f>
        <v>603944748.37671256</v>
      </c>
      <c r="F173" s="3">
        <f>+'2026Ej'!L90</f>
        <v>762324748.37671256</v>
      </c>
      <c r="G173" s="3">
        <f>+'2026Ej'!G90</f>
        <v>441347441.01999998</v>
      </c>
      <c r="H173" s="3">
        <f>+'2026Ej'!H90</f>
        <v>72023307.35671261</v>
      </c>
      <c r="I173" s="3">
        <f>+'2026Ej'!I90</f>
        <v>603944748.37671256</v>
      </c>
      <c r="J173" s="3">
        <f>+'2026Ej'!J90</f>
        <v>420419014.63</v>
      </c>
      <c r="K173" s="3">
        <f>+'2026Ej'!K90</f>
        <v>183525733.74671263</v>
      </c>
      <c r="L173" s="3">
        <f>+'2026Ej'!L90</f>
        <v>762324748.37671256</v>
      </c>
      <c r="M173" s="3">
        <f>+'2026Ej'!M90</f>
        <v>434295542</v>
      </c>
      <c r="N173" s="3">
        <f>+'2026Ej'!N90</f>
        <v>328029206.37671262</v>
      </c>
      <c r="P173" s="34"/>
      <c r="T173" s="2"/>
      <c r="V173" s="20"/>
    </row>
    <row r="174" spans="1:23" x14ac:dyDescent="0.25">
      <c r="H174" s="2">
        <f>+[8]Ppto!$N$166</f>
        <v>560644748.37671256</v>
      </c>
      <c r="I174" s="2">
        <f>+[8]Ppto!$O$166</f>
        <v>527744748.37671262</v>
      </c>
      <c r="M174" s="2">
        <f>+M164-'2026Ej'!AH90</f>
        <v>876082577.17671263</v>
      </c>
      <c r="N174" s="2">
        <f>+N173-N172</f>
        <v>-7163081875.5009727</v>
      </c>
      <c r="P174" s="34"/>
      <c r="R174" s="2">
        <f>+J161+J160+J158+J157+J152+J150+J135+J134+J130+J129+J121+J119+J117+J115+J113+J110+J108+J107+J105+J101+J120+J109</f>
        <v>177841694.42185959</v>
      </c>
      <c r="T174" s="2"/>
      <c r="V174" s="20"/>
    </row>
    <row r="175" spans="1:23" x14ac:dyDescent="0.25">
      <c r="D175" s="3">
        <f>+'[14]Hoja de W esta'!$K$157</f>
        <v>452832252.22008836</v>
      </c>
      <c r="H175" s="2">
        <f>+H174-H164</f>
        <v>0</v>
      </c>
      <c r="I175" s="2">
        <f>+'[11]Planeación 2025 P&amp;K (def Mod1)'!$O$160</f>
        <v>688888211.22008848</v>
      </c>
      <c r="M175" s="2">
        <f>+M174-N164</f>
        <v>307350000</v>
      </c>
      <c r="P175" s="34"/>
      <c r="R175" s="2">
        <f>+J139+J137+J133+J123+J112+J104+J102</f>
        <v>43257703.884853005</v>
      </c>
      <c r="T175" s="2"/>
      <c r="V175" s="20"/>
    </row>
    <row r="176" spans="1:23" x14ac:dyDescent="0.25">
      <c r="D176" s="2">
        <f>+D175-D164</f>
        <v>-60538496.156624198</v>
      </c>
      <c r="E176" s="2">
        <f>+'[11]Planeación 2025 P&amp;K (def Mod1)'!$K$160-E164</f>
        <v>5117503.8433759212</v>
      </c>
      <c r="I176" s="2">
        <f>+I175-I164</f>
        <v>156343462.84337592</v>
      </c>
      <c r="M176" s="2">
        <f>+M175+N164</f>
        <v>876082577.17671263</v>
      </c>
      <c r="R176" s="2">
        <f>+J159+J153+J114+J103</f>
        <v>20830000</v>
      </c>
      <c r="T176" s="2"/>
      <c r="V176" s="20"/>
    </row>
    <row r="177" spans="2:22" x14ac:dyDescent="0.25">
      <c r="T177" s="2"/>
      <c r="V177" s="20"/>
    </row>
    <row r="178" spans="2:22" x14ac:dyDescent="0.25">
      <c r="O178">
        <f>+'2026Ej'!AM96</f>
        <v>0</v>
      </c>
      <c r="V178" s="20"/>
    </row>
    <row r="179" spans="2:22" x14ac:dyDescent="0.25">
      <c r="F179">
        <f>+[8]Ppto!$L$166</f>
        <v>762324748.37671256</v>
      </c>
      <c r="H179" s="3">
        <f>+'[11]Planeación 2025 P&amp;K (def Mod1)'!$N$160</f>
        <v>848932252.22008848</v>
      </c>
      <c r="L179" s="3">
        <v>9565112976.7293091</v>
      </c>
      <c r="M179" s="2">
        <f>+M164-'2026Ej'!AG90</f>
        <v>876082577.17671263</v>
      </c>
      <c r="N179">
        <v>774514875</v>
      </c>
      <c r="O179" s="2">
        <f>+M164+N179</f>
        <v>1650597452.1767125</v>
      </c>
      <c r="V179" s="20"/>
    </row>
    <row r="180" spans="2:22" x14ac:dyDescent="0.25">
      <c r="F180" s="2">
        <f>+F164-F179</f>
        <v>-6199999.9999998808</v>
      </c>
      <c r="G180" s="2"/>
      <c r="H180" s="3">
        <f>+H179-H164</f>
        <v>288287503.84337592</v>
      </c>
      <c r="N180" s="2">
        <f>+N179-N164</f>
        <v>205782297.82328737</v>
      </c>
      <c r="O180" s="2">
        <f>+O179-O178</f>
        <v>1650597452.1767125</v>
      </c>
      <c r="P180" s="2">
        <f>+M163</f>
        <v>548579398.30671263</v>
      </c>
      <c r="V180" s="20"/>
    </row>
    <row r="181" spans="2:22" x14ac:dyDescent="0.25">
      <c r="H181" s="3">
        <f>+H63+H100</f>
        <v>365667178.87</v>
      </c>
      <c r="L181" s="2">
        <f>+L179-B164</f>
        <v>1107394548.9231796</v>
      </c>
      <c r="N181" s="2">
        <f>+N180-S115</f>
        <v>205782297.82328737</v>
      </c>
      <c r="P181" s="3">
        <f>+'[11]Planeación 2025 P&amp;K (def Mod1)'!$S$166</f>
        <v>778992252.2200886</v>
      </c>
      <c r="V181" s="20"/>
    </row>
    <row r="182" spans="2:22" x14ac:dyDescent="0.25">
      <c r="H182" s="3">
        <f>+'[11]Planeación 2025 P&amp;K (def Mod1)'!$N$184</f>
        <v>848932252.22008848</v>
      </c>
      <c r="L182" s="2">
        <f>SUM(M164:N164)</f>
        <v>1444815154.3534253</v>
      </c>
      <c r="P182" s="2">
        <f>+P181-P180</f>
        <v>230412853.91337597</v>
      </c>
      <c r="V182" s="20"/>
    </row>
    <row r="183" spans="2:22" x14ac:dyDescent="0.25">
      <c r="H183" s="3">
        <f>+H182-H181</f>
        <v>483265073.35008848</v>
      </c>
      <c r="L183" s="3">
        <f>+'[11]Planeación 2025 P&amp;K (def Mod1)'!$R$160</f>
        <v>585492252.22008848</v>
      </c>
      <c r="V183" s="20"/>
    </row>
    <row r="184" spans="2:22" x14ac:dyDescent="0.25">
      <c r="L184" s="2">
        <f>+L183-L164</f>
        <v>15009675.04337585</v>
      </c>
      <c r="V184" s="20"/>
    </row>
    <row r="185" spans="2:22" x14ac:dyDescent="0.25">
      <c r="O185">
        <f>+[19]EjecucionPptalPasiva!$K$16</f>
        <v>7449706778</v>
      </c>
      <c r="V185" s="20"/>
    </row>
    <row r="186" spans="2:22" x14ac:dyDescent="0.25">
      <c r="B186" s="2">
        <f>+B15</f>
        <v>6709964626.6356983</v>
      </c>
      <c r="V186" s="20"/>
    </row>
    <row r="187" spans="2:22" x14ac:dyDescent="0.25">
      <c r="B187" s="2">
        <f>+B186-B164</f>
        <v>-1747753801.1704311</v>
      </c>
      <c r="G187" s="2">
        <f>+G162+G136+G75+G47+G21</f>
        <v>44076000</v>
      </c>
      <c r="V187" s="20"/>
    </row>
    <row r="188" spans="2:22" x14ac:dyDescent="0.25">
      <c r="G188" s="2">
        <f>+G154+G149+G144+G145+G146</f>
        <v>14000000</v>
      </c>
    </row>
    <row r="189" spans="2:22" x14ac:dyDescent="0.25">
      <c r="G189" s="2">
        <f>+G153+G159+G114</f>
        <v>6050000</v>
      </c>
    </row>
    <row r="190" spans="2:22" x14ac:dyDescent="0.25">
      <c r="G190" s="2">
        <f>+G139+G137+G133+G132+G123+G112+G104+G102</f>
        <v>33465003.884853005</v>
      </c>
    </row>
    <row r="193" spans="10:13" x14ac:dyDescent="0.25">
      <c r="J193" s="2">
        <f>SUM(C164:G164)</f>
        <v>2884608699.240695</v>
      </c>
      <c r="K193" s="2">
        <f>SUM(H164:N164)</f>
        <v>4606502382.6369877</v>
      </c>
      <c r="L193" s="2">
        <f>+K193+J193</f>
        <v>7491111081.8776827</v>
      </c>
      <c r="M193" s="2">
        <f>+L193-O164</f>
        <v>2356797761.4700003</v>
      </c>
    </row>
    <row r="194" spans="10:13" x14ac:dyDescent="0.25">
      <c r="J194" s="2">
        <f>+'2026Ej'!AN94</f>
        <v>2986662586.5481601</v>
      </c>
    </row>
    <row r="195" spans="10:13" x14ac:dyDescent="0.25">
      <c r="J195" s="2">
        <f>+J193-J194</f>
        <v>-102053887.30746508</v>
      </c>
    </row>
  </sheetData>
  <autoFilter ref="A5:O165" xr:uid="{4C861BE8-7E5D-4966-A65F-7599F5FEBCAA}"/>
  <mergeCells count="2">
    <mergeCell ref="A1:C1"/>
    <mergeCell ref="A3:O3"/>
  </mergeCells>
  <pageMargins left="0.59055118110236227" right="0.39370078740157483" top="0.39370078740157483" bottom="0.59055118110236227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69B29-B0CC-43C7-B39A-D8917A4DC017}">
  <dimension ref="A1:BA155"/>
  <sheetViews>
    <sheetView showGridLines="0" tabSelected="1" zoomScaleNormal="100" workbookViewId="0">
      <pane xSplit="1" ySplit="5" topLeftCell="R115" activePane="bottomRight" state="frozen"/>
      <selection pane="topRight" activeCell="B1" sqref="B1"/>
      <selection pane="bottomLeft" activeCell="A5" sqref="A5"/>
      <selection pane="bottomRight" activeCell="V132" sqref="V132"/>
    </sheetView>
  </sheetViews>
  <sheetFormatPr baseColWidth="10" defaultColWidth="11.42578125" defaultRowHeight="15" x14ac:dyDescent="0.25"/>
  <cols>
    <col min="1" max="1" width="65.42578125" customWidth="1"/>
    <col min="2" max="2" width="17.85546875" customWidth="1"/>
    <col min="3" max="8" width="15.5703125" customWidth="1"/>
    <col min="9" max="11" width="16.7109375" customWidth="1"/>
    <col min="12" max="23" width="16.140625" customWidth="1"/>
    <col min="24" max="27" width="16.7109375" hidden="1" customWidth="1"/>
    <col min="28" max="28" width="14.28515625" hidden="1" customWidth="1"/>
    <col min="29" max="29" width="14.140625" hidden="1" customWidth="1"/>
    <col min="30" max="35" width="16.7109375" hidden="1" customWidth="1"/>
    <col min="36" max="38" width="16.140625" hidden="1" customWidth="1"/>
    <col min="39" max="39" width="17.85546875" customWidth="1"/>
    <col min="40" max="40" width="16.7109375" customWidth="1"/>
    <col min="41" max="41" width="18.42578125" customWidth="1"/>
    <col min="42" max="42" width="12" bestFit="1" customWidth="1"/>
    <col min="43" max="43" width="3.85546875" customWidth="1"/>
    <col min="44" max="44" width="16.85546875" bestFit="1" customWidth="1"/>
    <col min="45" max="45" width="17" hidden="1" customWidth="1"/>
    <col min="46" max="46" width="18.42578125" hidden="1" customWidth="1"/>
    <col min="47" max="47" width="14.140625" hidden="1" customWidth="1"/>
    <col min="48" max="48" width="10.42578125" hidden="1" customWidth="1"/>
    <col min="49" max="49" width="14" hidden="1" customWidth="1"/>
    <col min="50" max="50" width="33.5703125" style="68" hidden="1" customWidth="1"/>
    <col min="51" max="51" width="12.7109375" hidden="1" customWidth="1"/>
    <col min="52" max="52" width="11.5703125" bestFit="1" customWidth="1"/>
    <col min="53" max="53" width="13.140625" bestFit="1" customWidth="1"/>
  </cols>
  <sheetData>
    <row r="1" spans="1:53" x14ac:dyDescent="0.25">
      <c r="A1" s="189" t="s">
        <v>51</v>
      </c>
      <c r="B1" s="189"/>
      <c r="C1" s="189"/>
      <c r="D1" s="14"/>
      <c r="E1" s="14"/>
      <c r="Y1" s="2"/>
      <c r="Z1" s="87"/>
    </row>
    <row r="2" spans="1:53" x14ac:dyDescent="0.25">
      <c r="A2" s="14"/>
      <c r="B2" s="14"/>
      <c r="C2" s="14"/>
      <c r="D2" s="14"/>
      <c r="E2" s="14"/>
      <c r="Y2" s="2"/>
    </row>
    <row r="3" spans="1:53" ht="15.75" thickBot="1" x14ac:dyDescent="0.3">
      <c r="A3" s="190" t="s">
        <v>228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23"/>
      <c r="AR3" s="23"/>
    </row>
    <row r="4" spans="1:53" ht="15.75" thickBot="1" x14ac:dyDescent="0.3">
      <c r="A4" s="23"/>
      <c r="B4" s="23"/>
      <c r="C4" s="191" t="s">
        <v>105</v>
      </c>
      <c r="D4" s="192"/>
      <c r="E4" s="193"/>
      <c r="F4" s="191" t="s">
        <v>107</v>
      </c>
      <c r="G4" s="192"/>
      <c r="H4" s="193"/>
      <c r="I4" s="191" t="s">
        <v>109</v>
      </c>
      <c r="J4" s="192"/>
      <c r="K4" s="193"/>
      <c r="L4" s="191" t="s">
        <v>111</v>
      </c>
      <c r="M4" s="192"/>
      <c r="N4" s="193"/>
      <c r="O4" s="191" t="s">
        <v>112</v>
      </c>
      <c r="P4" s="192"/>
      <c r="Q4" s="193"/>
      <c r="R4" s="191" t="s">
        <v>114</v>
      </c>
      <c r="S4" s="192"/>
      <c r="T4" s="193"/>
      <c r="U4" s="191" t="s">
        <v>115</v>
      </c>
      <c r="V4" s="192"/>
      <c r="W4" s="193"/>
      <c r="X4" s="191" t="s">
        <v>116</v>
      </c>
      <c r="Y4" s="192"/>
      <c r="Z4" s="193"/>
      <c r="AA4" s="191" t="s">
        <v>117</v>
      </c>
      <c r="AB4" s="192"/>
      <c r="AC4" s="193"/>
      <c r="AD4" s="191" t="s">
        <v>118</v>
      </c>
      <c r="AE4" s="192"/>
      <c r="AF4" s="193"/>
      <c r="AG4" s="191" t="s">
        <v>119</v>
      </c>
      <c r="AH4" s="192"/>
      <c r="AI4" s="193"/>
      <c r="AJ4" s="191" t="s">
        <v>120</v>
      </c>
      <c r="AK4" s="192"/>
      <c r="AL4" s="193"/>
      <c r="AM4" s="194" t="s">
        <v>48</v>
      </c>
      <c r="AN4" s="195"/>
      <c r="AO4" s="195"/>
      <c r="AP4" s="196"/>
      <c r="AQ4" s="23"/>
      <c r="AR4" s="23"/>
    </row>
    <row r="5" spans="1:53" s="19" customFormat="1" ht="30" x14ac:dyDescent="0.25">
      <c r="A5" s="16" t="s">
        <v>50</v>
      </c>
      <c r="B5" s="17" t="s">
        <v>204</v>
      </c>
      <c r="C5" s="17" t="s">
        <v>40</v>
      </c>
      <c r="D5" s="17" t="s">
        <v>99</v>
      </c>
      <c r="E5" s="17" t="s">
        <v>100</v>
      </c>
      <c r="F5" s="17" t="s">
        <v>41</v>
      </c>
      <c r="G5" s="17" t="s">
        <v>106</v>
      </c>
      <c r="H5" s="17" t="s">
        <v>100</v>
      </c>
      <c r="I5" s="17" t="s">
        <v>42</v>
      </c>
      <c r="J5" s="17" t="s">
        <v>106</v>
      </c>
      <c r="K5" s="17" t="s">
        <v>100</v>
      </c>
      <c r="L5" s="17" t="s">
        <v>43</v>
      </c>
      <c r="M5" s="17" t="s">
        <v>106</v>
      </c>
      <c r="N5" s="17" t="s">
        <v>100</v>
      </c>
      <c r="O5" s="17" t="s">
        <v>44</v>
      </c>
      <c r="P5" s="17" t="s">
        <v>106</v>
      </c>
      <c r="Q5" s="17" t="s">
        <v>100</v>
      </c>
      <c r="R5" s="17" t="s">
        <v>6</v>
      </c>
      <c r="S5" s="17" t="s">
        <v>106</v>
      </c>
      <c r="T5" s="17" t="s">
        <v>100</v>
      </c>
      <c r="U5" s="17" t="s">
        <v>5</v>
      </c>
      <c r="V5" s="17" t="s">
        <v>106</v>
      </c>
      <c r="W5" s="17" t="s">
        <v>100</v>
      </c>
      <c r="X5" s="17" t="s">
        <v>45</v>
      </c>
      <c r="Y5" s="17" t="s">
        <v>106</v>
      </c>
      <c r="Z5" s="17" t="s">
        <v>100</v>
      </c>
      <c r="AA5" s="17" t="s">
        <v>46</v>
      </c>
      <c r="AB5" s="17" t="s">
        <v>106</v>
      </c>
      <c r="AC5" s="17" t="s">
        <v>100</v>
      </c>
      <c r="AD5" s="17" t="s">
        <v>47</v>
      </c>
      <c r="AE5" s="17" t="s">
        <v>106</v>
      </c>
      <c r="AF5" s="17" t="s">
        <v>100</v>
      </c>
      <c r="AG5" s="17" t="s">
        <v>4</v>
      </c>
      <c r="AH5" s="17" t="s">
        <v>106</v>
      </c>
      <c r="AI5" s="17" t="s">
        <v>100</v>
      </c>
      <c r="AJ5" s="17" t="s">
        <v>3</v>
      </c>
      <c r="AK5" s="17" t="s">
        <v>106</v>
      </c>
      <c r="AL5" s="17" t="s">
        <v>100</v>
      </c>
      <c r="AM5" s="28" t="s">
        <v>102</v>
      </c>
      <c r="AN5" s="28" t="s">
        <v>103</v>
      </c>
      <c r="AO5" s="28" t="s">
        <v>104</v>
      </c>
      <c r="AP5" s="76" t="s">
        <v>49</v>
      </c>
      <c r="AQ5" s="33"/>
      <c r="AR5" s="111"/>
      <c r="AX5" s="69"/>
    </row>
    <row r="6" spans="1:53" x14ac:dyDescent="0.25">
      <c r="A6" s="5" t="s">
        <v>180</v>
      </c>
      <c r="B6" s="4">
        <f>+'202501anual'!B6-219272400</f>
        <v>585832320</v>
      </c>
      <c r="C6" s="4">
        <v>67092060</v>
      </c>
      <c r="D6" s="4">
        <f>+[20]Factrecaudocartera2025!$O$72+[20]Factrecaudocartera2025!$O$78</f>
        <v>63531866.710000001</v>
      </c>
      <c r="E6" s="4">
        <f>+C6-D6</f>
        <v>3560193.2899999991</v>
      </c>
      <c r="F6" s="4">
        <v>67092060</v>
      </c>
      <c r="G6" s="4">
        <f>+[21]Factrecaudocartera2025!$O$72+[21]Factrecaudocartera2025!$O$78</f>
        <v>57405475.310000002</v>
      </c>
      <c r="H6" s="4">
        <f t="shared" ref="H6:H18" si="0">+F6-G6</f>
        <v>9686584.6899999976</v>
      </c>
      <c r="I6" s="4">
        <v>67092060</v>
      </c>
      <c r="J6" s="4">
        <f>+[22]Factrecaudocartera2026!D46</f>
        <v>58685927.689999998</v>
      </c>
      <c r="K6" s="4">
        <f t="shared" ref="K6:K21" si="1">+I6-J6</f>
        <v>8406132.3100000024</v>
      </c>
      <c r="L6" s="4">
        <v>46637213</v>
      </c>
      <c r="M6" s="4">
        <v>78112584.910000011</v>
      </c>
      <c r="N6" s="4">
        <f t="shared" ref="N6:N11" si="2">+L6-M6</f>
        <v>-31475371.910000011</v>
      </c>
      <c r="O6" s="4">
        <v>46637213</v>
      </c>
      <c r="P6" s="4">
        <v>71650501.200000003</v>
      </c>
      <c r="Q6" s="4">
        <f>+O6-P6</f>
        <v>-25013288.200000003</v>
      </c>
      <c r="R6" s="4">
        <f>46637214</f>
        <v>46637214</v>
      </c>
      <c r="S6" s="4">
        <v>64745795.119999997</v>
      </c>
      <c r="T6" s="4">
        <f t="shared" ref="T6:T10" si="3">+R6-S6</f>
        <v>-18108581.119999997</v>
      </c>
      <c r="U6" s="4">
        <f>46637214+2281400</f>
        <v>48918614</v>
      </c>
      <c r="V6" s="4">
        <v>86709298.390000001</v>
      </c>
      <c r="W6" s="4">
        <f>+U6-V6</f>
        <v>-37790684.390000001</v>
      </c>
      <c r="X6" s="4"/>
      <c r="Y6" s="4"/>
      <c r="Z6" s="4">
        <f>+X6-Y6</f>
        <v>0</v>
      </c>
      <c r="AA6" s="4"/>
      <c r="AB6" s="4"/>
      <c r="AC6" s="4">
        <f t="shared" ref="AC6:AC21" si="4">+AA6-AB6</f>
        <v>0</v>
      </c>
      <c r="AD6" s="4"/>
      <c r="AE6" s="4"/>
      <c r="AF6" s="4">
        <f t="shared" ref="AF6:AF11" si="5">+AD6-AE6</f>
        <v>0</v>
      </c>
      <c r="AG6" s="4"/>
      <c r="AH6" s="4"/>
      <c r="AI6" s="4">
        <f t="shared" ref="AI6:AI10" si="6">+AG6-AH6</f>
        <v>0</v>
      </c>
      <c r="AJ6" s="4"/>
      <c r="AK6" s="4"/>
      <c r="AL6" s="4">
        <f t="shared" ref="AL6:AL21" si="7">+AJ6-AK6</f>
        <v>0</v>
      </c>
      <c r="AM6" s="4">
        <f>+C6+F6+I6+L6+O6+R6+U6+X6+AA6+AD6+AG6+AJ6</f>
        <v>390106434</v>
      </c>
      <c r="AN6" s="4">
        <f t="shared" ref="AM6:AN9" si="8">+D6+G6+J6+M6+P6+S6+V6+Y6+AB6+AE6+AH6+AK6</f>
        <v>480841449.32999998</v>
      </c>
      <c r="AO6" s="4">
        <f>+AM6-AN6</f>
        <v>-90735015.329999983</v>
      </c>
      <c r="AP6" s="43">
        <f t="shared" ref="AP6:AP8" si="9">+AO6/AM6</f>
        <v>-0.23259040974956077</v>
      </c>
      <c r="AQ6" s="34"/>
      <c r="AR6" s="34"/>
      <c r="AS6" s="2"/>
      <c r="AY6" s="2"/>
    </row>
    <row r="7" spans="1:53" x14ac:dyDescent="0.25">
      <c r="A7" s="5" t="s">
        <v>123</v>
      </c>
      <c r="B7" s="4">
        <f>+'202501anual'!B10-557403600</f>
        <v>888015600</v>
      </c>
      <c r="C7" s="4">
        <v>120451600</v>
      </c>
      <c r="D7" s="4">
        <f>+[20]Factrecaudocartera2025!$Q$72+[20]Factrecaudocartera2025!$Q$78</f>
        <v>69201053.249999985</v>
      </c>
      <c r="E7" s="4">
        <f t="shared" ref="E7:E11" si="10">+C7-D7</f>
        <v>51250546.750000015</v>
      </c>
      <c r="F7" s="4">
        <v>119170200</v>
      </c>
      <c r="G7" s="4">
        <f>+[21]Factrecaudocartera2025!$Q$72+[21]Factrecaudocartera2025!$Q$78</f>
        <v>62345941.82</v>
      </c>
      <c r="H7" s="4">
        <f t="shared" si="0"/>
        <v>56824258.18</v>
      </c>
      <c r="I7" s="4">
        <v>119170200</v>
      </c>
      <c r="J7" s="4">
        <f>+[22]Factrecaudocartera2026!$D$48</f>
        <v>70283053.579999983</v>
      </c>
      <c r="K7" s="4">
        <f t="shared" si="1"/>
        <v>48887146.420000017</v>
      </c>
      <c r="L7" s="4">
        <v>53047474</v>
      </c>
      <c r="M7" s="4">
        <v>88501328.069999978</v>
      </c>
      <c r="N7" s="4">
        <f t="shared" si="2"/>
        <v>-35453854.069999978</v>
      </c>
      <c r="O7" s="4">
        <v>53047474</v>
      </c>
      <c r="P7" s="4">
        <f>+[23]Factrecaudocartera2026!$Q$91</f>
        <v>76715750.909999996</v>
      </c>
      <c r="Q7" s="4">
        <f>+O7-P7</f>
        <v>-23668276.909999996</v>
      </c>
      <c r="R7" s="4">
        <f>53047474</f>
        <v>53047474</v>
      </c>
      <c r="S7" s="4">
        <v>72386881.469999999</v>
      </c>
      <c r="T7" s="4">
        <f t="shared" si="3"/>
        <v>-19339407.469999999</v>
      </c>
      <c r="U7" s="4">
        <f>53047474+2281400</f>
        <v>55328874</v>
      </c>
      <c r="V7" s="4">
        <v>97720203.329999998</v>
      </c>
      <c r="W7" s="4">
        <f t="shared" ref="W7:W11" si="11">+U7-V7</f>
        <v>-42391329.329999998</v>
      </c>
      <c r="X7" s="4"/>
      <c r="Y7" s="87"/>
      <c r="Z7" s="4">
        <f t="shared" ref="Z7:Z11" si="12">+X7-Y7</f>
        <v>0</v>
      </c>
      <c r="AA7" s="4"/>
      <c r="AB7" s="4"/>
      <c r="AC7" s="4">
        <f t="shared" si="4"/>
        <v>0</v>
      </c>
      <c r="AD7" s="4"/>
      <c r="AE7" s="4"/>
      <c r="AF7" s="4">
        <f t="shared" si="5"/>
        <v>0</v>
      </c>
      <c r="AG7" s="4"/>
      <c r="AH7" s="4"/>
      <c r="AI7" s="4">
        <f t="shared" si="6"/>
        <v>0</v>
      </c>
      <c r="AJ7" s="4"/>
      <c r="AK7" s="4"/>
      <c r="AL7" s="4">
        <f t="shared" si="7"/>
        <v>0</v>
      </c>
      <c r="AM7" s="4">
        <f t="shared" si="8"/>
        <v>573263296</v>
      </c>
      <c r="AN7" s="4">
        <f t="shared" si="8"/>
        <v>537154212.43000007</v>
      </c>
      <c r="AO7" s="4">
        <f t="shared" ref="AO7:AO11" si="13">+AM7-AN7</f>
        <v>36109083.569999933</v>
      </c>
      <c r="AP7" s="43">
        <f t="shared" si="9"/>
        <v>6.2988654291936272E-2</v>
      </c>
      <c r="AQ7" s="34"/>
      <c r="AR7" s="34"/>
      <c r="AS7" s="2"/>
      <c r="AY7" s="2"/>
    </row>
    <row r="8" spans="1:53" x14ac:dyDescent="0.25">
      <c r="A8" s="5" t="s">
        <v>181</v>
      </c>
      <c r="B8" s="4">
        <f>+'202501anual'!B12-2539200</f>
        <v>4435800</v>
      </c>
      <c r="C8" s="4">
        <v>581250</v>
      </c>
      <c r="D8" s="4">
        <f>+[20]Factrecaudocartera2025!$P$72+[20]Factrecaudocartera2025!$P$78</f>
        <v>435361.75</v>
      </c>
      <c r="E8" s="4">
        <f t="shared" si="10"/>
        <v>145888.25</v>
      </c>
      <c r="F8" s="4">
        <v>581250</v>
      </c>
      <c r="G8" s="4">
        <f>+[21]Factrecaudocartera2025!$P$72</f>
        <v>702948.28</v>
      </c>
      <c r="H8" s="4">
        <f t="shared" si="0"/>
        <v>-121698.28000000003</v>
      </c>
      <c r="I8" s="4">
        <v>581250</v>
      </c>
      <c r="J8" s="4">
        <f>+[22]Factrecaudocartera2026!D47</f>
        <v>255536.31</v>
      </c>
      <c r="K8" s="4">
        <f t="shared" si="1"/>
        <v>325713.69</v>
      </c>
      <c r="L8" s="4">
        <v>579356</v>
      </c>
      <c r="M8" s="4">
        <v>399077.56</v>
      </c>
      <c r="N8" s="4">
        <f t="shared" si="2"/>
        <v>180278.44</v>
      </c>
      <c r="O8" s="4">
        <v>579356</v>
      </c>
      <c r="P8" s="4">
        <f>+[23]Factrecaudocartera2026!$P$91</f>
        <v>331984.41000000003</v>
      </c>
      <c r="Q8" s="4">
        <f>+O8-P8</f>
        <v>247371.58999999997</v>
      </c>
      <c r="R8" s="4">
        <f>579356</f>
        <v>579356</v>
      </c>
      <c r="S8" s="4">
        <v>230362.43</v>
      </c>
      <c r="T8" s="4">
        <f t="shared" si="3"/>
        <v>348993.57</v>
      </c>
      <c r="U8" s="4">
        <f>579356</f>
        <v>579356</v>
      </c>
      <c r="V8" s="4">
        <v>490511.13</v>
      </c>
      <c r="W8" s="4">
        <f t="shared" si="11"/>
        <v>88844.87</v>
      </c>
      <c r="X8" s="4"/>
      <c r="Y8" s="4"/>
      <c r="Z8" s="4">
        <f t="shared" si="12"/>
        <v>0</v>
      </c>
      <c r="AA8" s="4"/>
      <c r="AB8" s="4"/>
      <c r="AC8" s="4">
        <f t="shared" si="4"/>
        <v>0</v>
      </c>
      <c r="AD8" s="4"/>
      <c r="AE8" s="4"/>
      <c r="AF8" s="4">
        <f t="shared" si="5"/>
        <v>0</v>
      </c>
      <c r="AG8" s="4"/>
      <c r="AH8" s="4"/>
      <c r="AI8" s="4">
        <f t="shared" si="6"/>
        <v>0</v>
      </c>
      <c r="AJ8" s="4"/>
      <c r="AK8" s="4"/>
      <c r="AL8" s="4">
        <f t="shared" si="7"/>
        <v>0</v>
      </c>
      <c r="AM8" s="4">
        <f t="shared" si="8"/>
        <v>4061174</v>
      </c>
      <c r="AN8" s="4">
        <f t="shared" si="8"/>
        <v>2845781.87</v>
      </c>
      <c r="AO8" s="4">
        <f t="shared" si="13"/>
        <v>1215392.1299999999</v>
      </c>
      <c r="AP8" s="43">
        <f t="shared" si="9"/>
        <v>0.29927112948127804</v>
      </c>
      <c r="AQ8" s="34"/>
      <c r="AR8" s="34"/>
      <c r="AS8" s="2"/>
      <c r="AT8" s="2"/>
      <c r="AY8" s="2"/>
    </row>
    <row r="9" spans="1:53" x14ac:dyDescent="0.25">
      <c r="A9" s="5" t="s">
        <v>171</v>
      </c>
      <c r="B9" s="4">
        <f>219272400+557403600+2539200</f>
        <v>779215200</v>
      </c>
      <c r="C9" s="4">
        <v>0</v>
      </c>
      <c r="D9" s="4">
        <f>+[20]Factrecaudocartera2025!$B$50</f>
        <v>61061046</v>
      </c>
      <c r="E9" s="4">
        <f t="shared" si="10"/>
        <v>-61061046</v>
      </c>
      <c r="F9" s="4"/>
      <c r="G9" s="4">
        <f>+[21]Factrecaudocartera2025!$V$94</f>
        <v>123205449</v>
      </c>
      <c r="H9" s="4">
        <f t="shared" si="0"/>
        <v>-123205449</v>
      </c>
      <c r="I9" s="4"/>
      <c r="J9" s="4"/>
      <c r="K9" s="4">
        <f t="shared" si="1"/>
        <v>0</v>
      </c>
      <c r="L9" s="4">
        <v>86579466.666666672</v>
      </c>
      <c r="M9" s="4">
        <v>0</v>
      </c>
      <c r="N9" s="4">
        <f t="shared" si="2"/>
        <v>86579466.666666672</v>
      </c>
      <c r="O9" s="4">
        <v>86579466.666666672</v>
      </c>
      <c r="P9" s="4">
        <v>128685283.94</v>
      </c>
      <c r="Q9" s="4">
        <f>+O9-P9</f>
        <v>-42105817.273333326</v>
      </c>
      <c r="R9" s="4">
        <v>86579467</v>
      </c>
      <c r="S9" s="4">
        <v>138446998.05000001</v>
      </c>
      <c r="T9" s="4">
        <f t="shared" si="3"/>
        <v>-51867531.050000012</v>
      </c>
      <c r="U9" s="4">
        <v>86579467</v>
      </c>
      <c r="V9" s="4">
        <v>71979986.310000002</v>
      </c>
      <c r="W9" s="4">
        <f t="shared" si="11"/>
        <v>14599480.689999998</v>
      </c>
      <c r="X9" s="4"/>
      <c r="Y9" s="4"/>
      <c r="Z9" s="4">
        <f t="shared" si="12"/>
        <v>0</v>
      </c>
      <c r="AA9" s="4"/>
      <c r="AB9" s="4"/>
      <c r="AC9" s="4">
        <f t="shared" si="4"/>
        <v>0</v>
      </c>
      <c r="AD9" s="4"/>
      <c r="AE9" s="4"/>
      <c r="AF9" s="4">
        <f t="shared" si="5"/>
        <v>0</v>
      </c>
      <c r="AG9" s="4"/>
      <c r="AH9" s="4"/>
      <c r="AI9" s="4">
        <f t="shared" si="6"/>
        <v>0</v>
      </c>
      <c r="AJ9" s="4"/>
      <c r="AK9" s="4"/>
      <c r="AL9" s="4">
        <f t="shared" si="7"/>
        <v>0</v>
      </c>
      <c r="AM9" s="4">
        <f t="shared" si="8"/>
        <v>346317867.33333337</v>
      </c>
      <c r="AN9" s="4">
        <f>+D9+G9+J9+M9+P9+S9+V9+Y9+AB9+AE9+AH9+AK9</f>
        <v>523378763.30000001</v>
      </c>
      <c r="AO9" s="4">
        <f t="shared" si="13"/>
        <v>-177060895.96666664</v>
      </c>
      <c r="AP9" s="29">
        <f>+AO9/AM9</f>
        <v>-0.51126699679125787</v>
      </c>
      <c r="AQ9" s="34"/>
      <c r="AR9" s="34"/>
      <c r="AS9" s="2"/>
      <c r="AT9" s="2"/>
      <c r="AY9" s="2"/>
    </row>
    <row r="10" spans="1:53" x14ac:dyDescent="0.25">
      <c r="A10" s="5" t="s">
        <v>169</v>
      </c>
      <c r="B10" s="4">
        <f>+'202501anual'!B13</f>
        <v>71800000</v>
      </c>
      <c r="C10" s="110">
        <f t="shared" ref="C10" si="14">+B10/12</f>
        <v>5983333.333333333</v>
      </c>
      <c r="D10" s="4">
        <v>5165969.1499999994</v>
      </c>
      <c r="E10" s="4">
        <f t="shared" si="10"/>
        <v>817364.18333333358</v>
      </c>
      <c r="F10" s="4">
        <v>335266.66999999993</v>
      </c>
      <c r="G10" s="4">
        <f>+[21]Factrecaudocartera2025!$C$52</f>
        <v>4244661.67</v>
      </c>
      <c r="H10" s="4">
        <f t="shared" si="0"/>
        <v>-3909395</v>
      </c>
      <c r="I10" s="4">
        <v>3800000</v>
      </c>
      <c r="J10" s="4">
        <v>0</v>
      </c>
      <c r="K10" s="4">
        <f t="shared" si="1"/>
        <v>3800000</v>
      </c>
      <c r="L10" s="4">
        <v>3800000</v>
      </c>
      <c r="M10" s="4">
        <v>3653020.85</v>
      </c>
      <c r="N10" s="4">
        <f t="shared" si="2"/>
        <v>146979.14999999991</v>
      </c>
      <c r="O10" s="4">
        <v>3800000</v>
      </c>
      <c r="P10" s="4">
        <v>3502637.21</v>
      </c>
      <c r="Q10" s="4">
        <f>+O10-P10</f>
        <v>297362.79000000004</v>
      </c>
      <c r="R10" s="4">
        <f>3800000</f>
        <v>3800000</v>
      </c>
      <c r="S10" s="4">
        <v>4295267.07</v>
      </c>
      <c r="T10" s="4">
        <f t="shared" si="3"/>
        <v>-495267.0700000003</v>
      </c>
      <c r="U10" s="4">
        <f>3800000</f>
        <v>3800000</v>
      </c>
      <c r="V10" s="4">
        <v>3601563.22</v>
      </c>
      <c r="W10" s="4">
        <f t="shared" si="11"/>
        <v>198436.7799999998</v>
      </c>
      <c r="X10" s="4"/>
      <c r="Y10" s="4"/>
      <c r="Z10" s="4">
        <f t="shared" si="12"/>
        <v>0</v>
      </c>
      <c r="AA10" s="4"/>
      <c r="AB10" s="4"/>
      <c r="AC10" s="4">
        <f t="shared" si="4"/>
        <v>0</v>
      </c>
      <c r="AD10" s="4"/>
      <c r="AE10" s="4"/>
      <c r="AF10" s="4">
        <f t="shared" si="5"/>
        <v>0</v>
      </c>
      <c r="AG10" s="4"/>
      <c r="AH10" s="4"/>
      <c r="AI10" s="4">
        <f t="shared" si="6"/>
        <v>0</v>
      </c>
      <c r="AJ10" s="4"/>
      <c r="AK10" s="4"/>
      <c r="AL10" s="4">
        <f t="shared" si="7"/>
        <v>0</v>
      </c>
      <c r="AM10" s="4">
        <f>+C10+F10+I10+L10+O10+R10+U10+X10+AA10+AD10+AG10+AJ10</f>
        <v>25318600.003333334</v>
      </c>
      <c r="AN10" s="4">
        <f>+D10+G10+J10+M10+P10+S10+V10+Y10+AB10+AE10+AH10+AK10</f>
        <v>24463119.169999998</v>
      </c>
      <c r="AO10" s="4">
        <f t="shared" si="13"/>
        <v>855480.83333333582</v>
      </c>
      <c r="AP10" s="29">
        <f>+AO10/AM10</f>
        <v>3.378863101517094E-2</v>
      </c>
      <c r="AQ10" s="34"/>
      <c r="AR10" s="34"/>
      <c r="AS10" s="2"/>
      <c r="AT10" s="112" t="s">
        <v>190</v>
      </c>
      <c r="AU10" s="95" t="s">
        <v>175</v>
      </c>
      <c r="AV10" t="s">
        <v>201</v>
      </c>
      <c r="AY10" s="2"/>
    </row>
    <row r="11" spans="1:53" x14ac:dyDescent="0.25">
      <c r="A11" s="5" t="s">
        <v>124</v>
      </c>
      <c r="B11" s="4">
        <f>+'202501anual'!B14+0.804</f>
        <v>4380665707.4396982</v>
      </c>
      <c r="C11" s="110">
        <v>0</v>
      </c>
      <c r="D11" s="4">
        <v>0</v>
      </c>
      <c r="E11" s="4">
        <f t="shared" si="10"/>
        <v>0</v>
      </c>
      <c r="F11" s="4"/>
      <c r="G11" s="4"/>
      <c r="H11" s="4">
        <f t="shared" si="0"/>
        <v>0</v>
      </c>
      <c r="I11" s="4"/>
      <c r="J11" s="4"/>
      <c r="K11" s="4">
        <f t="shared" si="1"/>
        <v>0</v>
      </c>
      <c r="L11" s="4">
        <v>3191658190</v>
      </c>
      <c r="M11" s="4">
        <v>3191658190</v>
      </c>
      <c r="N11" s="4">
        <f t="shared" si="2"/>
        <v>0</v>
      </c>
      <c r="O11" s="4"/>
      <c r="P11" s="4"/>
      <c r="Q11" s="4">
        <f t="shared" ref="Q11" si="15">+O11-P11</f>
        <v>0</v>
      </c>
      <c r="R11" s="4"/>
      <c r="S11" s="4"/>
      <c r="T11" s="4"/>
      <c r="U11" s="4"/>
      <c r="V11" s="4"/>
      <c r="W11" s="4">
        <f t="shared" si="11"/>
        <v>0</v>
      </c>
      <c r="X11" s="4"/>
      <c r="Y11" s="4"/>
      <c r="Z11" s="4">
        <f t="shared" si="12"/>
        <v>0</v>
      </c>
      <c r="AA11" s="4"/>
      <c r="AB11" s="4"/>
      <c r="AC11" s="4">
        <f t="shared" si="4"/>
        <v>0</v>
      </c>
      <c r="AD11" s="4"/>
      <c r="AE11" s="4"/>
      <c r="AF11" s="4">
        <f t="shared" si="5"/>
        <v>0</v>
      </c>
      <c r="AG11" s="4"/>
      <c r="AH11" s="4"/>
      <c r="AI11" s="4"/>
      <c r="AJ11" s="4"/>
      <c r="AK11" s="4"/>
      <c r="AL11" s="4">
        <f t="shared" si="7"/>
        <v>0</v>
      </c>
      <c r="AM11" s="4">
        <f t="shared" ref="AM11" si="16">+C11+F11+I11+L11+O11+R11+U11+X11+AA11+AD11+AG11+AJ11</f>
        <v>3191658190</v>
      </c>
      <c r="AN11" s="4">
        <f t="shared" ref="AN11" si="17">+D11+G11+J11+M11+P11+S11+V11+Y11+AB11+AE11+AH11+AK11</f>
        <v>3191658190</v>
      </c>
      <c r="AO11" s="4">
        <f t="shared" si="13"/>
        <v>0</v>
      </c>
      <c r="AP11" s="29">
        <f>+AO11/AM11</f>
        <v>0</v>
      </c>
      <c r="AQ11" s="34"/>
      <c r="AR11" s="34"/>
      <c r="AS11" s="138" t="s">
        <v>198</v>
      </c>
      <c r="AT11" s="139">
        <v>6000000</v>
      </c>
      <c r="AU11" s="139">
        <v>1725000</v>
      </c>
      <c r="AV11" s="139">
        <f>+AT11-AU11</f>
        <v>4275000</v>
      </c>
      <c r="AY11" s="2"/>
    </row>
    <row r="12" spans="1:53" ht="18.75" x14ac:dyDescent="0.3">
      <c r="A12" s="11" t="s">
        <v>2</v>
      </c>
      <c r="B12" s="7">
        <f t="shared" ref="B12:AO12" si="18">SUM(B6:B11)</f>
        <v>6709964627.4396982</v>
      </c>
      <c r="C12" s="7">
        <f t="shared" si="18"/>
        <v>194108243.33333334</v>
      </c>
      <c r="D12" s="7">
        <f t="shared" si="18"/>
        <v>199395296.85999998</v>
      </c>
      <c r="E12" s="7">
        <f t="shared" si="18"/>
        <v>-5287053.5266666524</v>
      </c>
      <c r="F12" s="7">
        <f t="shared" si="18"/>
        <v>187178776.66999999</v>
      </c>
      <c r="G12" s="7">
        <f t="shared" si="18"/>
        <v>247904476.07999998</v>
      </c>
      <c r="H12" s="7">
        <f t="shared" si="18"/>
        <v>-60725699.410000004</v>
      </c>
      <c r="I12" s="7">
        <f t="shared" si="18"/>
        <v>190643510</v>
      </c>
      <c r="J12" s="7">
        <f t="shared" si="18"/>
        <v>129224517.57999998</v>
      </c>
      <c r="K12" s="7">
        <f t="shared" si="18"/>
        <v>61418992.420000017</v>
      </c>
      <c r="L12" s="7">
        <f t="shared" si="18"/>
        <v>3382301699.6666665</v>
      </c>
      <c r="M12" s="7">
        <f t="shared" si="18"/>
        <v>3362324201.3899999</v>
      </c>
      <c r="N12" s="7">
        <f t="shared" si="18"/>
        <v>19977498.276666678</v>
      </c>
      <c r="O12" s="7">
        <f t="shared" si="18"/>
        <v>190643509.66666669</v>
      </c>
      <c r="P12" s="7">
        <f>SUM(P6:P11)</f>
        <v>280886157.67000002</v>
      </c>
      <c r="Q12" s="7">
        <f t="shared" si="18"/>
        <v>-90242648.003333315</v>
      </c>
      <c r="R12" s="7">
        <f t="shared" si="18"/>
        <v>190643511</v>
      </c>
      <c r="S12" s="7">
        <f t="shared" si="18"/>
        <v>280105304.14000005</v>
      </c>
      <c r="T12" s="7">
        <f t="shared" si="18"/>
        <v>-89461793.140000015</v>
      </c>
      <c r="U12" s="7">
        <f t="shared" si="18"/>
        <v>195206311</v>
      </c>
      <c r="V12" s="7">
        <f t="shared" si="18"/>
        <v>260501562.38</v>
      </c>
      <c r="W12" s="7">
        <f t="shared" si="18"/>
        <v>-65295251.379999995</v>
      </c>
      <c r="X12" s="7">
        <f t="shared" si="18"/>
        <v>0</v>
      </c>
      <c r="Y12" s="7">
        <f t="shared" si="18"/>
        <v>0</v>
      </c>
      <c r="Z12" s="7">
        <f t="shared" si="18"/>
        <v>0</v>
      </c>
      <c r="AA12" s="7">
        <f t="shared" si="18"/>
        <v>0</v>
      </c>
      <c r="AB12" s="7">
        <f t="shared" si="18"/>
        <v>0</v>
      </c>
      <c r="AC12" s="7">
        <f t="shared" si="18"/>
        <v>0</v>
      </c>
      <c r="AD12" s="7">
        <f t="shared" si="18"/>
        <v>0</v>
      </c>
      <c r="AE12" s="7">
        <f t="shared" si="18"/>
        <v>0</v>
      </c>
      <c r="AF12" s="7">
        <f t="shared" si="18"/>
        <v>0</v>
      </c>
      <c r="AG12" s="7">
        <f t="shared" si="18"/>
        <v>0</v>
      </c>
      <c r="AH12" s="7">
        <f t="shared" si="18"/>
        <v>0</v>
      </c>
      <c r="AI12" s="7">
        <f t="shared" si="18"/>
        <v>0</v>
      </c>
      <c r="AJ12" s="7">
        <f t="shared" si="18"/>
        <v>0</v>
      </c>
      <c r="AK12" s="7">
        <f t="shared" si="18"/>
        <v>0</v>
      </c>
      <c r="AL12" s="7">
        <f t="shared" si="18"/>
        <v>0</v>
      </c>
      <c r="AM12" s="7">
        <f t="shared" si="18"/>
        <v>4530725561.3366671</v>
      </c>
      <c r="AN12" s="7">
        <f t="shared" si="18"/>
        <v>4760341516.1000004</v>
      </c>
      <c r="AO12" s="7">
        <f>SUM(AO6:AO11)</f>
        <v>-229615954.76333335</v>
      </c>
      <c r="AP12" s="31">
        <f>+AO12/AM12</f>
        <v>-5.0679731459080349E-2</v>
      </c>
      <c r="AQ12" s="34"/>
      <c r="AR12" s="50">
        <f>W12/U12*100</f>
        <v>-33.449354708619019</v>
      </c>
      <c r="AS12" s="139" t="s">
        <v>199</v>
      </c>
      <c r="AT12" s="139">
        <v>2500000</v>
      </c>
      <c r="AU12" s="139">
        <v>0</v>
      </c>
      <c r="AV12" s="139">
        <f>+AT12-AU12</f>
        <v>2500000</v>
      </c>
      <c r="AX12" s="130"/>
      <c r="AY12" s="2"/>
      <c r="AZ12" s="2">
        <f>+AM12-AN12-AO12</f>
        <v>0</v>
      </c>
    </row>
    <row r="13" spans="1:53" x14ac:dyDescent="0.25">
      <c r="A13" s="5" t="s">
        <v>36</v>
      </c>
      <c r="B13" s="4">
        <f>+'202501anual'!B16</f>
        <v>967711968</v>
      </c>
      <c r="C13" s="4">
        <f>+B13/12</f>
        <v>80642664</v>
      </c>
      <c r="D13" s="4">
        <f>+[24]Resultados!$C$9</f>
        <v>73266237</v>
      </c>
      <c r="E13" s="4">
        <f t="shared" ref="E13:E21" si="19">+C13-D13</f>
        <v>7376427</v>
      </c>
      <c r="F13" s="4">
        <f>+'202501anual'!D16</f>
        <v>80642664</v>
      </c>
      <c r="G13" s="4">
        <f>+[25]Resultados!D9-[25]Resultados!D26+4322891</f>
        <v>79340981</v>
      </c>
      <c r="H13" s="4">
        <f t="shared" si="0"/>
        <v>1301683</v>
      </c>
      <c r="I13" s="4">
        <f>+'202501anual'!E16</f>
        <v>80642664</v>
      </c>
      <c r="J13" s="4">
        <f>+[26]Resultados!$E$9</f>
        <v>78746500</v>
      </c>
      <c r="K13" s="4">
        <f t="shared" si="1"/>
        <v>1896164</v>
      </c>
      <c r="L13" s="4">
        <f>+'202501anual'!F16</f>
        <v>80642664</v>
      </c>
      <c r="M13" s="4">
        <v>82455744</v>
      </c>
      <c r="N13" s="4">
        <f t="shared" ref="N13:N18" si="20">+L13-M13</f>
        <v>-1813080</v>
      </c>
      <c r="O13" s="4">
        <f>+'202501anual'!G16</f>
        <v>80642664</v>
      </c>
      <c r="P13" s="4">
        <v>80276080</v>
      </c>
      <c r="Q13" s="4">
        <f t="shared" ref="Q13:Q18" si="21">+O13-P13</f>
        <v>366584</v>
      </c>
      <c r="R13" s="4">
        <f>+'202501anual'!H16</f>
        <v>80642664</v>
      </c>
      <c r="S13" s="4">
        <v>79380196</v>
      </c>
      <c r="T13" s="4">
        <f t="shared" ref="T13:T18" si="22">+R13-S13</f>
        <v>1262468</v>
      </c>
      <c r="U13" s="4">
        <f>+'202501anual'!I16</f>
        <v>80642664</v>
      </c>
      <c r="V13" s="4">
        <f>+[30]Resultados!$I$9</f>
        <v>77880919</v>
      </c>
      <c r="W13" s="4">
        <f t="shared" ref="W13:W18" si="23">+U13-V13</f>
        <v>2761745</v>
      </c>
      <c r="X13" s="4"/>
      <c r="Y13" s="4"/>
      <c r="Z13" s="4">
        <f t="shared" ref="Z13:Z18" si="24">+X13-Y13</f>
        <v>0</v>
      </c>
      <c r="AA13" s="4"/>
      <c r="AB13" s="4"/>
      <c r="AC13" s="4">
        <f t="shared" si="4"/>
        <v>0</v>
      </c>
      <c r="AD13" s="4"/>
      <c r="AE13" s="4"/>
      <c r="AF13" s="4">
        <f t="shared" ref="AF13:AF18" si="25">+AD13-AE13</f>
        <v>0</v>
      </c>
      <c r="AG13" s="4"/>
      <c r="AH13" s="4"/>
      <c r="AI13" s="4">
        <f>+AG13-AH13</f>
        <v>0</v>
      </c>
      <c r="AJ13" s="4"/>
      <c r="AK13" s="4"/>
      <c r="AL13" s="4"/>
      <c r="AM13" s="4">
        <f>+C13+F13+I13+L13+O13+R13+U13+X13+AA13+AD13+AG13+AJ13</f>
        <v>564498648</v>
      </c>
      <c r="AN13" s="4">
        <f t="shared" ref="AN13:AN18" si="26">+D13+G13+J13+M13+P13+S13+V13+Y13+AB13+AE13+AH13+AK13</f>
        <v>551346657</v>
      </c>
      <c r="AO13" s="4">
        <f>+AM13-AN13</f>
        <v>13151991</v>
      </c>
      <c r="AP13" s="43">
        <f t="shared" ref="AP13:AP18" si="27">+AO13/AM13</f>
        <v>2.3298534100297794E-2</v>
      </c>
      <c r="AQ13" s="34"/>
      <c r="AR13" s="36"/>
      <c r="AS13" s="140" t="s">
        <v>200</v>
      </c>
      <c r="AT13" s="139">
        <v>6000000</v>
      </c>
      <c r="AU13" s="139">
        <v>0</v>
      </c>
      <c r="AV13" s="139">
        <f>+AT13-AU13</f>
        <v>6000000</v>
      </c>
      <c r="AX13" s="130"/>
      <c r="AY13" s="2"/>
      <c r="AZ13" s="2">
        <f t="shared" ref="AZ13:AZ76" si="28">+AM13-AN13-AO13</f>
        <v>0</v>
      </c>
    </row>
    <row r="14" spans="1:53" x14ac:dyDescent="0.25">
      <c r="A14" s="5" t="s">
        <v>9</v>
      </c>
      <c r="B14" s="4">
        <f>+'202501anual'!B17</f>
        <v>328400000</v>
      </c>
      <c r="C14" s="4">
        <f>+'202501anual'!C17</f>
        <v>14700000</v>
      </c>
      <c r="D14" s="4">
        <f>+'202501anual'!P17</f>
        <v>4311268</v>
      </c>
      <c r="E14" s="4">
        <f t="shared" si="19"/>
        <v>10388732</v>
      </c>
      <c r="F14" s="4">
        <f>+'202501anual'!D17</f>
        <v>14700000</v>
      </c>
      <c r="G14" s="4">
        <f>+'202501anual'!Q17</f>
        <v>15011958</v>
      </c>
      <c r="H14" s="4">
        <f t="shared" si="0"/>
        <v>-311958</v>
      </c>
      <c r="I14" s="4">
        <f>+'202501anual'!E17</f>
        <v>14700000</v>
      </c>
      <c r="J14" s="4">
        <f>+'202501anual'!R17</f>
        <v>6842675</v>
      </c>
      <c r="K14" s="4">
        <f t="shared" si="1"/>
        <v>7857325</v>
      </c>
      <c r="L14" s="4">
        <f>+'202501anual'!F17</f>
        <v>41500000</v>
      </c>
      <c r="M14" s="4">
        <f>+'202501anual'!S17</f>
        <v>11450400</v>
      </c>
      <c r="N14" s="4">
        <f t="shared" si="20"/>
        <v>30049600</v>
      </c>
      <c r="O14" s="4">
        <f>+'202501anual'!G17</f>
        <v>48776000</v>
      </c>
      <c r="P14" s="4">
        <f>+'202501anual'!T17</f>
        <v>14682730</v>
      </c>
      <c r="Q14" s="4">
        <f t="shared" si="21"/>
        <v>34093270</v>
      </c>
      <c r="R14" s="4">
        <f>+'202501anual'!H17</f>
        <v>33776000</v>
      </c>
      <c r="S14" s="4">
        <v>33454796</v>
      </c>
      <c r="T14" s="4">
        <f t="shared" si="22"/>
        <v>321204</v>
      </c>
      <c r="U14" s="4">
        <f>+'202501anual'!I17</f>
        <v>34700000</v>
      </c>
      <c r="V14" s="4">
        <f>+'202501anual'!V17</f>
        <v>15311168</v>
      </c>
      <c r="W14" s="4">
        <f t="shared" si="23"/>
        <v>19388832</v>
      </c>
      <c r="X14" s="4"/>
      <c r="Y14" s="4"/>
      <c r="Z14" s="4">
        <f t="shared" si="24"/>
        <v>0</v>
      </c>
      <c r="AA14" s="4"/>
      <c r="AB14" s="4"/>
      <c r="AC14" s="4">
        <f t="shared" si="4"/>
        <v>0</v>
      </c>
      <c r="AD14" s="4"/>
      <c r="AE14" s="4"/>
      <c r="AF14" s="4">
        <f t="shared" si="25"/>
        <v>0</v>
      </c>
      <c r="AG14" s="4"/>
      <c r="AH14" s="4"/>
      <c r="AI14" s="4">
        <f t="shared" ref="AI14:AI21" si="29">+AG14-AH14</f>
        <v>0</v>
      </c>
      <c r="AJ14" s="4"/>
      <c r="AK14" s="4"/>
      <c r="AL14" s="4"/>
      <c r="AM14" s="4">
        <f t="shared" ref="AM14:AM18" si="30">+C14+F14+I14+L14+O14+R14+U14+X14+AA14+AD14+AG14+AJ14</f>
        <v>202852000</v>
      </c>
      <c r="AN14" s="4">
        <f t="shared" si="26"/>
        <v>101064995</v>
      </c>
      <c r="AO14" s="4">
        <f t="shared" ref="AO14:AO18" si="31">+AM14-AN14</f>
        <v>101787005</v>
      </c>
      <c r="AP14" s="43">
        <f t="shared" si="27"/>
        <v>0.50177964723049318</v>
      </c>
      <c r="AQ14" s="34"/>
      <c r="AR14" s="36"/>
      <c r="AS14" s="140"/>
      <c r="AT14" s="139">
        <f>SUM(AT11:AT13)</f>
        <v>14500000</v>
      </c>
      <c r="AU14" s="139">
        <f>SUM(AU11:AU13)</f>
        <v>1725000</v>
      </c>
      <c r="AV14" s="139">
        <f>SUM(AV11:AV13)</f>
        <v>12775000</v>
      </c>
      <c r="AW14" s="20"/>
      <c r="AX14" s="131"/>
      <c r="AY14" s="132"/>
      <c r="AZ14" s="2">
        <f t="shared" si="28"/>
        <v>0</v>
      </c>
      <c r="BA14" s="133"/>
    </row>
    <row r="15" spans="1:53" x14ac:dyDescent="0.25">
      <c r="A15" s="5" t="s">
        <v>8</v>
      </c>
      <c r="B15" s="4">
        <f>+'202501anual'!B28</f>
        <v>55900000</v>
      </c>
      <c r="C15" s="4">
        <f>+'202501anual'!C28</f>
        <v>0</v>
      </c>
      <c r="D15" s="4">
        <f>+'202501anual'!P28</f>
        <v>0</v>
      </c>
      <c r="E15" s="4">
        <f t="shared" si="19"/>
        <v>0</v>
      </c>
      <c r="F15" s="4">
        <f>+'202501anual'!D34</f>
        <v>2000000</v>
      </c>
      <c r="G15" s="4">
        <f>+'202501anual'!Q28</f>
        <v>0</v>
      </c>
      <c r="H15" s="4">
        <f t="shared" si="0"/>
        <v>2000000</v>
      </c>
      <c r="I15" s="4">
        <f>+'202501anual'!E28</f>
        <v>7000000</v>
      </c>
      <c r="J15" s="4">
        <f>+'202501anual'!R28</f>
        <v>0</v>
      </c>
      <c r="K15" s="4">
        <f t="shared" si="1"/>
        <v>7000000</v>
      </c>
      <c r="L15" s="4">
        <f>+'202501anual'!F28</f>
        <v>9100000</v>
      </c>
      <c r="M15" s="4">
        <f>+'202501anual'!S28</f>
        <v>0</v>
      </c>
      <c r="N15" s="4">
        <f t="shared" si="20"/>
        <v>9100000</v>
      </c>
      <c r="O15" s="4">
        <f>+'202501anual'!G28</f>
        <v>9100000</v>
      </c>
      <c r="P15" s="4">
        <f>+'202501anual'!T28</f>
        <v>0</v>
      </c>
      <c r="Q15" s="4">
        <f t="shared" si="21"/>
        <v>9100000</v>
      </c>
      <c r="R15" s="4">
        <f>+'202501anual'!H28</f>
        <v>8100000</v>
      </c>
      <c r="S15" s="4">
        <v>0</v>
      </c>
      <c r="T15" s="4">
        <f t="shared" si="22"/>
        <v>8100000</v>
      </c>
      <c r="U15" s="4">
        <f>+'202501anual'!I28</f>
        <v>4100000</v>
      </c>
      <c r="V15" s="4">
        <f>+'202501anual'!V28</f>
        <v>3800000</v>
      </c>
      <c r="W15" s="4">
        <f t="shared" si="23"/>
        <v>300000</v>
      </c>
      <c r="X15" s="4"/>
      <c r="Y15" s="4"/>
      <c r="Z15" s="4">
        <f t="shared" si="24"/>
        <v>0</v>
      </c>
      <c r="AA15" s="4"/>
      <c r="AB15" s="4"/>
      <c r="AC15" s="4">
        <f t="shared" si="4"/>
        <v>0</v>
      </c>
      <c r="AD15" s="4"/>
      <c r="AE15" s="4"/>
      <c r="AF15" s="4">
        <f t="shared" si="25"/>
        <v>0</v>
      </c>
      <c r="AG15" s="4"/>
      <c r="AH15" s="4"/>
      <c r="AI15" s="4">
        <f t="shared" si="29"/>
        <v>0</v>
      </c>
      <c r="AJ15" s="4"/>
      <c r="AK15" s="4"/>
      <c r="AL15" s="4"/>
      <c r="AM15" s="4">
        <f t="shared" si="30"/>
        <v>39400000</v>
      </c>
      <c r="AN15" s="4">
        <f t="shared" si="26"/>
        <v>3800000</v>
      </c>
      <c r="AO15" s="4">
        <f t="shared" si="31"/>
        <v>35600000</v>
      </c>
      <c r="AP15" s="43">
        <f t="shared" si="27"/>
        <v>0.90355329949238583</v>
      </c>
      <c r="AQ15" s="34"/>
      <c r="AR15" s="36"/>
      <c r="AS15" s="97" t="s">
        <v>176</v>
      </c>
      <c r="AT15" s="95">
        <v>0</v>
      </c>
      <c r="AU15" s="104">
        <v>0</v>
      </c>
      <c r="AV15" s="95">
        <f t="shared" ref="AV15:AV20" si="32">+AT15-AU15</f>
        <v>0</v>
      </c>
      <c r="AW15" s="20"/>
      <c r="AX15" s="130"/>
      <c r="AY15" s="2"/>
      <c r="AZ15" s="2">
        <f t="shared" si="28"/>
        <v>0</v>
      </c>
    </row>
    <row r="16" spans="1:53" hidden="1" x14ac:dyDescent="0.25">
      <c r="A16" s="5" t="s">
        <v>10</v>
      </c>
      <c r="B16" s="4">
        <v>0</v>
      </c>
      <c r="C16" s="4">
        <v>0</v>
      </c>
      <c r="D16" s="4">
        <f>+'202501anual'!P38</f>
        <v>0</v>
      </c>
      <c r="E16" s="4">
        <f t="shared" si="19"/>
        <v>0</v>
      </c>
      <c r="F16" s="4"/>
      <c r="G16" s="4"/>
      <c r="H16" s="4">
        <f t="shared" si="0"/>
        <v>0</v>
      </c>
      <c r="I16" s="4"/>
      <c r="J16" s="4"/>
      <c r="K16" s="4">
        <f t="shared" si="1"/>
        <v>0</v>
      </c>
      <c r="L16" s="4"/>
      <c r="M16" s="4"/>
      <c r="N16" s="4">
        <f t="shared" si="20"/>
        <v>0</v>
      </c>
      <c r="O16" s="4"/>
      <c r="P16" s="4"/>
      <c r="Q16" s="4">
        <f t="shared" si="21"/>
        <v>0</v>
      </c>
      <c r="R16" s="4"/>
      <c r="S16" s="4"/>
      <c r="T16" s="4">
        <f t="shared" si="22"/>
        <v>0</v>
      </c>
      <c r="U16" s="4"/>
      <c r="V16" s="4"/>
      <c r="W16" s="4">
        <f t="shared" si="23"/>
        <v>0</v>
      </c>
      <c r="X16" s="4"/>
      <c r="Y16" s="4"/>
      <c r="Z16" s="4">
        <f t="shared" si="24"/>
        <v>0</v>
      </c>
      <c r="AA16" s="4"/>
      <c r="AB16" s="4"/>
      <c r="AC16" s="4">
        <f t="shared" si="4"/>
        <v>0</v>
      </c>
      <c r="AD16" s="4"/>
      <c r="AE16" s="4"/>
      <c r="AF16" s="4">
        <f t="shared" si="25"/>
        <v>0</v>
      </c>
      <c r="AG16" s="4"/>
      <c r="AH16" s="4"/>
      <c r="AI16" s="4">
        <f t="shared" si="29"/>
        <v>0</v>
      </c>
      <c r="AJ16" s="4"/>
      <c r="AK16" s="4"/>
      <c r="AL16" s="4"/>
      <c r="AM16" s="4">
        <f t="shared" si="30"/>
        <v>0</v>
      </c>
      <c r="AN16" s="4">
        <f t="shared" si="26"/>
        <v>0</v>
      </c>
      <c r="AO16" s="4">
        <f t="shared" si="31"/>
        <v>0</v>
      </c>
      <c r="AP16" s="43" t="e">
        <f t="shared" si="27"/>
        <v>#DIV/0!</v>
      </c>
      <c r="AQ16" s="34"/>
      <c r="AR16" s="36"/>
      <c r="AS16" s="97" t="s">
        <v>178</v>
      </c>
      <c r="AT16" s="95">
        <v>0</v>
      </c>
      <c r="AU16" s="104">
        <v>13762550</v>
      </c>
      <c r="AV16" s="95">
        <f t="shared" si="32"/>
        <v>-13762550</v>
      </c>
      <c r="AX16" s="130"/>
      <c r="AY16" s="2"/>
      <c r="AZ16" s="2">
        <f t="shared" si="28"/>
        <v>0</v>
      </c>
    </row>
    <row r="17" spans="1:53" hidden="1" x14ac:dyDescent="0.25">
      <c r="A17" s="5" t="s">
        <v>11</v>
      </c>
      <c r="B17" s="4">
        <v>0</v>
      </c>
      <c r="C17" s="4">
        <v>0</v>
      </c>
      <c r="D17" s="4">
        <v>0</v>
      </c>
      <c r="E17" s="4">
        <f t="shared" si="19"/>
        <v>0</v>
      </c>
      <c r="F17" s="4"/>
      <c r="G17" s="4"/>
      <c r="H17" s="4">
        <f t="shared" si="0"/>
        <v>0</v>
      </c>
      <c r="I17" s="4"/>
      <c r="J17" s="4"/>
      <c r="K17" s="4">
        <f t="shared" si="1"/>
        <v>0</v>
      </c>
      <c r="L17" s="4"/>
      <c r="M17" s="4"/>
      <c r="N17" s="4">
        <f t="shared" si="20"/>
        <v>0</v>
      </c>
      <c r="O17" s="4"/>
      <c r="P17" s="4"/>
      <c r="Q17" s="4">
        <f t="shared" si="21"/>
        <v>0</v>
      </c>
      <c r="R17" s="4"/>
      <c r="S17" s="4"/>
      <c r="T17" s="4">
        <f t="shared" si="22"/>
        <v>0</v>
      </c>
      <c r="U17" s="4"/>
      <c r="V17" s="4"/>
      <c r="W17" s="4">
        <f t="shared" si="23"/>
        <v>0</v>
      </c>
      <c r="X17" s="4"/>
      <c r="Y17" s="4"/>
      <c r="Z17" s="4">
        <f t="shared" si="24"/>
        <v>0</v>
      </c>
      <c r="AA17" s="4"/>
      <c r="AB17" s="4"/>
      <c r="AC17" s="4">
        <f t="shared" si="4"/>
        <v>0</v>
      </c>
      <c r="AD17" s="4"/>
      <c r="AE17" s="4"/>
      <c r="AF17" s="4">
        <f t="shared" si="25"/>
        <v>0</v>
      </c>
      <c r="AG17" s="4"/>
      <c r="AH17" s="4"/>
      <c r="AI17" s="4">
        <f t="shared" si="29"/>
        <v>0</v>
      </c>
      <c r="AJ17" s="4"/>
      <c r="AK17" s="4"/>
      <c r="AL17" s="4"/>
      <c r="AM17" s="4">
        <f t="shared" si="30"/>
        <v>0</v>
      </c>
      <c r="AN17" s="4">
        <f t="shared" si="26"/>
        <v>0</v>
      </c>
      <c r="AO17" s="4">
        <f t="shared" si="31"/>
        <v>0</v>
      </c>
      <c r="AP17" s="43" t="e">
        <f t="shared" si="27"/>
        <v>#DIV/0!</v>
      </c>
      <c r="AQ17" s="34"/>
      <c r="AR17" s="36"/>
      <c r="AS17" s="98" t="s">
        <v>177</v>
      </c>
      <c r="AT17" s="96">
        <v>0</v>
      </c>
      <c r="AU17" s="95">
        <f>34914910+27160573</f>
        <v>62075483</v>
      </c>
      <c r="AV17" s="95">
        <f t="shared" si="32"/>
        <v>-62075483</v>
      </c>
      <c r="AW17" s="20"/>
      <c r="AX17" s="130"/>
      <c r="AY17" s="2"/>
      <c r="AZ17" s="2">
        <f t="shared" si="28"/>
        <v>0</v>
      </c>
    </row>
    <row r="18" spans="1:53" x14ac:dyDescent="0.25">
      <c r="A18" s="5" t="s">
        <v>12</v>
      </c>
      <c r="B18" s="4">
        <f>+'202501anual'!B42</f>
        <v>390119700</v>
      </c>
      <c r="C18" s="4">
        <f>+'202501anual'!C42</f>
        <v>1887500</v>
      </c>
      <c r="D18" s="4">
        <f>+'202501anual'!P42</f>
        <v>3070680</v>
      </c>
      <c r="E18" s="4">
        <f t="shared" si="19"/>
        <v>-1183180</v>
      </c>
      <c r="F18" s="4">
        <f>+'202501anual'!D42</f>
        <v>5089000</v>
      </c>
      <c r="G18" s="4">
        <f>+'202501anual'!Q42</f>
        <v>26236441</v>
      </c>
      <c r="H18" s="4">
        <f t="shared" si="0"/>
        <v>-21147441</v>
      </c>
      <c r="I18" s="4">
        <f>+'202501anual'!E42</f>
        <v>62450000</v>
      </c>
      <c r="J18" s="4">
        <f>+'202501anual'!R42</f>
        <v>14632579</v>
      </c>
      <c r="K18" s="4">
        <f t="shared" si="1"/>
        <v>47817421</v>
      </c>
      <c r="L18" s="4">
        <f>+'202501anual'!F42</f>
        <v>30089000</v>
      </c>
      <c r="M18" s="4">
        <f>+'202501anual'!S42</f>
        <v>32982591</v>
      </c>
      <c r="N18" s="4">
        <f t="shared" si="20"/>
        <v>-2893591</v>
      </c>
      <c r="O18" s="4">
        <f>+'202501anual'!G42</f>
        <v>33150000</v>
      </c>
      <c r="P18" s="4">
        <f>+'202501anual'!T42</f>
        <v>509915</v>
      </c>
      <c r="Q18" s="4">
        <f t="shared" si="21"/>
        <v>32640085</v>
      </c>
      <c r="R18" s="4">
        <f>+'202501anual'!H42</f>
        <v>32089000</v>
      </c>
      <c r="S18" s="4">
        <v>18506057</v>
      </c>
      <c r="T18" s="4">
        <f t="shared" si="22"/>
        <v>13582943</v>
      </c>
      <c r="U18" s="4">
        <f>+'202501anual'!I42</f>
        <v>28150000</v>
      </c>
      <c r="V18" s="4">
        <f>+'202501anual'!V42</f>
        <v>6619070</v>
      </c>
      <c r="W18" s="4">
        <f t="shared" si="23"/>
        <v>21530930</v>
      </c>
      <c r="X18" s="4"/>
      <c r="Y18" s="4"/>
      <c r="Z18" s="4">
        <f t="shared" si="24"/>
        <v>0</v>
      </c>
      <c r="AA18" s="4"/>
      <c r="AB18" s="4"/>
      <c r="AC18" s="4">
        <f t="shared" si="4"/>
        <v>0</v>
      </c>
      <c r="AD18" s="4"/>
      <c r="AE18" s="4"/>
      <c r="AF18" s="4">
        <f t="shared" si="25"/>
        <v>0</v>
      </c>
      <c r="AG18" s="4"/>
      <c r="AH18" s="4"/>
      <c r="AI18" s="4">
        <f t="shared" si="29"/>
        <v>0</v>
      </c>
      <c r="AJ18" s="4"/>
      <c r="AK18" s="4"/>
      <c r="AL18" s="4"/>
      <c r="AM18" s="4">
        <f t="shared" si="30"/>
        <v>192904500</v>
      </c>
      <c r="AN18" s="4">
        <f t="shared" si="26"/>
        <v>102557333</v>
      </c>
      <c r="AO18" s="4">
        <f t="shared" si="31"/>
        <v>90347167</v>
      </c>
      <c r="AP18" s="43">
        <f t="shared" si="27"/>
        <v>0.4683517854689756</v>
      </c>
      <c r="AQ18" s="34"/>
      <c r="AR18" s="36"/>
      <c r="AS18" s="137" t="s">
        <v>202</v>
      </c>
      <c r="AT18" s="141">
        <v>25000000</v>
      </c>
      <c r="AU18" s="137">
        <v>22832625</v>
      </c>
      <c r="AV18" s="137">
        <f t="shared" si="32"/>
        <v>2167375</v>
      </c>
      <c r="AW18" s="20"/>
      <c r="AX18" s="131"/>
      <c r="AY18" s="132"/>
      <c r="AZ18" s="2">
        <f t="shared" si="28"/>
        <v>0</v>
      </c>
      <c r="BA18" s="133"/>
    </row>
    <row r="19" spans="1:53" x14ac:dyDescent="0.25">
      <c r="A19" s="12" t="s">
        <v>13</v>
      </c>
      <c r="B19" s="8">
        <f t="shared" ref="B19:AO19" si="33">SUM(B13:B18)</f>
        <v>1742131668</v>
      </c>
      <c r="C19" s="8">
        <f t="shared" si="33"/>
        <v>97230164</v>
      </c>
      <c r="D19" s="8">
        <f t="shared" si="33"/>
        <v>80648185</v>
      </c>
      <c r="E19" s="8">
        <f t="shared" si="33"/>
        <v>16581979</v>
      </c>
      <c r="F19" s="8">
        <f t="shared" si="33"/>
        <v>102431664</v>
      </c>
      <c r="G19" s="8">
        <f t="shared" si="33"/>
        <v>120589380</v>
      </c>
      <c r="H19" s="8">
        <f t="shared" si="33"/>
        <v>-18157716</v>
      </c>
      <c r="I19" s="7">
        <f>SUM(I13:I18)</f>
        <v>164792664</v>
      </c>
      <c r="J19" s="8">
        <f t="shared" si="33"/>
        <v>100221754</v>
      </c>
      <c r="K19" s="8">
        <f t="shared" si="33"/>
        <v>64570910</v>
      </c>
      <c r="L19" s="8">
        <f t="shared" si="33"/>
        <v>161331664</v>
      </c>
      <c r="M19" s="8">
        <f t="shared" si="33"/>
        <v>126888735</v>
      </c>
      <c r="N19" s="8">
        <f t="shared" si="33"/>
        <v>34442929</v>
      </c>
      <c r="O19" s="8">
        <f t="shared" si="33"/>
        <v>171668664</v>
      </c>
      <c r="P19" s="8">
        <f t="shared" si="33"/>
        <v>95468725</v>
      </c>
      <c r="Q19" s="8">
        <f t="shared" si="33"/>
        <v>76199939</v>
      </c>
      <c r="R19" s="8">
        <f t="shared" si="33"/>
        <v>154607664</v>
      </c>
      <c r="S19" s="8">
        <f t="shared" si="33"/>
        <v>131341049</v>
      </c>
      <c r="T19" s="8">
        <f t="shared" si="33"/>
        <v>23266615</v>
      </c>
      <c r="U19" s="8">
        <f t="shared" si="33"/>
        <v>147592664</v>
      </c>
      <c r="V19" s="8">
        <f t="shared" si="33"/>
        <v>103611157</v>
      </c>
      <c r="W19" s="8">
        <f t="shared" si="33"/>
        <v>43981507</v>
      </c>
      <c r="X19" s="8">
        <f t="shared" si="33"/>
        <v>0</v>
      </c>
      <c r="Y19" s="8">
        <f t="shared" si="33"/>
        <v>0</v>
      </c>
      <c r="Z19" s="8">
        <f t="shared" si="33"/>
        <v>0</v>
      </c>
      <c r="AA19" s="8">
        <f t="shared" si="33"/>
        <v>0</v>
      </c>
      <c r="AB19" s="8">
        <f t="shared" si="33"/>
        <v>0</v>
      </c>
      <c r="AC19" s="8">
        <f t="shared" si="33"/>
        <v>0</v>
      </c>
      <c r="AD19" s="8">
        <f t="shared" si="33"/>
        <v>0</v>
      </c>
      <c r="AE19" s="8">
        <f t="shared" si="33"/>
        <v>0</v>
      </c>
      <c r="AF19" s="8">
        <f t="shared" si="33"/>
        <v>0</v>
      </c>
      <c r="AG19" s="8">
        <f t="shared" si="33"/>
        <v>0</v>
      </c>
      <c r="AH19" s="8">
        <f t="shared" si="33"/>
        <v>0</v>
      </c>
      <c r="AI19" s="8">
        <f t="shared" si="33"/>
        <v>0</v>
      </c>
      <c r="AJ19" s="8">
        <f t="shared" si="33"/>
        <v>0</v>
      </c>
      <c r="AK19" s="8">
        <f t="shared" si="33"/>
        <v>0</v>
      </c>
      <c r="AL19" s="8">
        <f t="shared" si="33"/>
        <v>0</v>
      </c>
      <c r="AM19" s="8">
        <f t="shared" si="33"/>
        <v>999655148</v>
      </c>
      <c r="AN19" s="8">
        <f t="shared" si="33"/>
        <v>758768985</v>
      </c>
      <c r="AO19" s="8">
        <f>SUM(AO13:AO18)</f>
        <v>240886163</v>
      </c>
      <c r="AP19" s="31">
        <f>+AO19/AM19</f>
        <v>0.24096926173184674</v>
      </c>
      <c r="AQ19" s="34"/>
      <c r="AR19" s="50">
        <f>W19/U19*100</f>
        <v>29.799250049446901</v>
      </c>
      <c r="AS19" s="137" t="s">
        <v>203</v>
      </c>
      <c r="AT19" s="141">
        <v>13281000</v>
      </c>
      <c r="AU19" s="137">
        <v>212338</v>
      </c>
      <c r="AV19" s="137">
        <f t="shared" si="32"/>
        <v>13068662</v>
      </c>
      <c r="AW19" s="20"/>
      <c r="AX19" s="131"/>
      <c r="AY19" s="132"/>
      <c r="AZ19" s="2">
        <f t="shared" si="28"/>
        <v>0</v>
      </c>
      <c r="BA19" s="133"/>
    </row>
    <row r="20" spans="1:53" x14ac:dyDescent="0.25">
      <c r="A20" s="5" t="s">
        <v>35</v>
      </c>
      <c r="B20" s="4">
        <f>+'202501anual'!B60</f>
        <v>51015178.440000013</v>
      </c>
      <c r="C20" s="4">
        <f>+B20/12</f>
        <v>4251264.870000001</v>
      </c>
      <c r="D20" s="4">
        <f>+[24]Resultados!$C$27</f>
        <v>2843992</v>
      </c>
      <c r="E20" s="4">
        <f t="shared" si="19"/>
        <v>1407272.870000001</v>
      </c>
      <c r="F20" s="4">
        <f>+C20</f>
        <v>4251264.870000001</v>
      </c>
      <c r="G20" s="4">
        <f>+[25]Resultados!$D$27</f>
        <v>3805882</v>
      </c>
      <c r="H20" s="4">
        <f>+F20-G20</f>
        <v>445382.87000000104</v>
      </c>
      <c r="I20" s="4">
        <f>+F20</f>
        <v>4251264.870000001</v>
      </c>
      <c r="J20" s="4">
        <f>+[26]Resultados!$E$27</f>
        <v>4222127</v>
      </c>
      <c r="K20" s="4">
        <f t="shared" si="1"/>
        <v>29137.870000001043</v>
      </c>
      <c r="L20" s="4">
        <f>+'202501anual'!F60</f>
        <v>4251264.870000001</v>
      </c>
      <c r="M20" s="4">
        <f>+[27]Resultados!$F$27</f>
        <v>4303071</v>
      </c>
      <c r="N20" s="4">
        <f t="shared" ref="N20:N21" si="34">+L20-M20</f>
        <v>-51806.129999998957</v>
      </c>
      <c r="O20" s="4">
        <f>+'202501anual'!G60</f>
        <v>4251264.870000001</v>
      </c>
      <c r="P20" s="4">
        <v>4316579</v>
      </c>
      <c r="Q20" s="4">
        <f>+O20-P20</f>
        <v>-65314.129999998957</v>
      </c>
      <c r="R20" s="4">
        <f>+'202501anual'!H60</f>
        <v>4251264.870000001</v>
      </c>
      <c r="S20" s="4">
        <v>4262650</v>
      </c>
      <c r="T20" s="4">
        <f>+R20-S20</f>
        <v>-11385.129999998957</v>
      </c>
      <c r="U20" s="4">
        <f>+'202501anual'!I60</f>
        <v>4251264.870000001</v>
      </c>
      <c r="V20" s="4">
        <f>+[30]Resultados!$I$27</f>
        <v>4337446</v>
      </c>
      <c r="W20" s="4">
        <f>+U20-V20</f>
        <v>-86181.129999998957</v>
      </c>
      <c r="X20" s="4"/>
      <c r="Y20" s="4"/>
      <c r="Z20" s="4">
        <f>+X20-Y20</f>
        <v>0</v>
      </c>
      <c r="AA20" s="4"/>
      <c r="AB20" s="4"/>
      <c r="AC20" s="4">
        <f t="shared" si="4"/>
        <v>0</v>
      </c>
      <c r="AD20" s="4"/>
      <c r="AE20" s="4"/>
      <c r="AF20" s="4">
        <f>+AD20-AE20</f>
        <v>0</v>
      </c>
      <c r="AG20" s="4"/>
      <c r="AH20" s="4"/>
      <c r="AI20" s="4">
        <f t="shared" si="29"/>
        <v>0</v>
      </c>
      <c r="AJ20" s="4"/>
      <c r="AK20" s="4"/>
      <c r="AL20" s="4">
        <f t="shared" si="7"/>
        <v>0</v>
      </c>
      <c r="AM20" s="4">
        <f>+C20+F20+I20+L20+O20+R20+U20+X20+AA20+AD20+AG20+AJ20</f>
        <v>29758854.090000007</v>
      </c>
      <c r="AN20" s="4">
        <f>+D20+G20+J20+M20+P20+S20+V20+Y20+AB20+AE20+AH20+AK20</f>
        <v>28091747</v>
      </c>
      <c r="AO20" s="4">
        <f>+AM20-AN20</f>
        <v>1667107.0900000073</v>
      </c>
      <c r="AP20" s="43">
        <f>+AO20/AM20</f>
        <v>5.6020540473707699E-2</v>
      </c>
      <c r="AQ20" s="34"/>
      <c r="AR20" s="38"/>
      <c r="AS20" s="137" t="s">
        <v>191</v>
      </c>
      <c r="AT20" s="141">
        <v>2200000</v>
      </c>
      <c r="AU20" s="137">
        <v>3931865</v>
      </c>
      <c r="AV20" s="137">
        <f t="shared" si="32"/>
        <v>-1731865</v>
      </c>
      <c r="AX20" s="130"/>
      <c r="AY20" s="132"/>
      <c r="AZ20" s="2">
        <f t="shared" si="28"/>
        <v>0</v>
      </c>
      <c r="BA20" s="132"/>
    </row>
    <row r="21" spans="1:53" x14ac:dyDescent="0.25">
      <c r="A21" s="5" t="s">
        <v>14</v>
      </c>
      <c r="B21" s="4">
        <f>+[13]EjecucionPptalPasiva!$D$258+[13]EjecucionPptalPasiva!$D$259+[13]EjecucionPptalPasiva!$D$260+[13]EjecucionPptalPasiva!$D$261+[13]EjecucionPptalPasiva!$D$285+[13]EjecucionPptalPasiva!$D$286+[13]EjecucionPptalPasiva!$D$287</f>
        <v>41029300</v>
      </c>
      <c r="C21" s="4">
        <f>+[7]Ppto!Y121+([7]Ppto!$Y$152*5/100)+([7]Ppto!$Y$153*5/100)</f>
        <v>287500</v>
      </c>
      <c r="D21" s="4">
        <v>0</v>
      </c>
      <c r="E21" s="4">
        <f t="shared" si="19"/>
        <v>287500</v>
      </c>
      <c r="F21" s="4">
        <f>+[8]Ppto!J121+([8]Ppto!$J$97*0.5%)+([8]Ppto!J98*1.5%)</f>
        <v>277500</v>
      </c>
      <c r="G21" s="4">
        <v>1269100</v>
      </c>
      <c r="H21" s="4">
        <f>+F21-G21</f>
        <v>-991600</v>
      </c>
      <c r="I21" s="4">
        <f>+'202501anual'!E61+'202501anual'!E144</f>
        <v>19310500</v>
      </c>
      <c r="J21" s="4">
        <f>+'202501anual'!R61</f>
        <v>101403</v>
      </c>
      <c r="K21" s="4">
        <f t="shared" si="1"/>
        <v>19209097</v>
      </c>
      <c r="L21" s="4">
        <f>+'202501anual'!F61</f>
        <v>277500</v>
      </c>
      <c r="M21" s="4">
        <v>0</v>
      </c>
      <c r="N21" s="4">
        <f t="shared" si="34"/>
        <v>277500</v>
      </c>
      <c r="O21" s="4">
        <f>+'202501anual'!G61</f>
        <v>180000</v>
      </c>
      <c r="P21" s="4">
        <v>0</v>
      </c>
      <c r="Q21" s="4">
        <f>+O21-P21</f>
        <v>180000</v>
      </c>
      <c r="R21" s="4">
        <f>+'202501anual'!H61</f>
        <v>277500</v>
      </c>
      <c r="S21" s="4">
        <v>1038312</v>
      </c>
      <c r="T21" s="4">
        <f>+R21-S21</f>
        <v>-760812</v>
      </c>
      <c r="U21" s="4">
        <f>+'202501anual'!I61</f>
        <v>330000</v>
      </c>
      <c r="V21" s="4">
        <f>+'202501anual'!V61</f>
        <v>1518050</v>
      </c>
      <c r="W21" s="4">
        <f>+U21-V21</f>
        <v>-1188050</v>
      </c>
      <c r="X21" s="4"/>
      <c r="Y21" s="4"/>
      <c r="Z21" s="4">
        <f>+X21-Y21</f>
        <v>0</v>
      </c>
      <c r="AA21" s="4"/>
      <c r="AB21" s="4"/>
      <c r="AC21" s="4">
        <f t="shared" si="4"/>
        <v>0</v>
      </c>
      <c r="AD21" s="4"/>
      <c r="AE21" s="4"/>
      <c r="AF21" s="4">
        <f>+AD21-AE21</f>
        <v>0</v>
      </c>
      <c r="AG21" s="4"/>
      <c r="AH21" s="4"/>
      <c r="AI21" s="4">
        <f t="shared" si="29"/>
        <v>0</v>
      </c>
      <c r="AJ21" s="4"/>
      <c r="AK21" s="4"/>
      <c r="AL21" s="4">
        <f t="shared" si="7"/>
        <v>0</v>
      </c>
      <c r="AM21" s="4">
        <f>+C21+F21+I21+L21+O21+R21+U21+X21+AA21+AD21+AG21+AJ21</f>
        <v>20940500</v>
      </c>
      <c r="AN21" s="4">
        <f>+D21+G21+J21+M21+P21+S21+V21+Y21+AB21+AE21+AH21+AK21</f>
        <v>3926865</v>
      </c>
      <c r="AO21" s="4">
        <f>+AM21-AN21</f>
        <v>17013635</v>
      </c>
      <c r="AP21" s="43">
        <f>+AO21/AM21</f>
        <v>0.81247510804422052</v>
      </c>
      <c r="AQ21" s="34"/>
      <c r="AR21" s="36"/>
      <c r="AS21" s="137"/>
      <c r="AT21" s="142">
        <f>SUM(AT15:AT20)</f>
        <v>40481000</v>
      </c>
      <c r="AU21" s="142">
        <f>SUM(AU18:AU20)</f>
        <v>26976828</v>
      </c>
      <c r="AV21" s="142">
        <f>SUM(AV18:AV20)</f>
        <v>13504172</v>
      </c>
      <c r="AX21" s="131"/>
      <c r="AY21" s="132"/>
      <c r="AZ21" s="2">
        <f t="shared" si="28"/>
        <v>0</v>
      </c>
      <c r="BA21" s="133"/>
    </row>
    <row r="22" spans="1:53" x14ac:dyDescent="0.25">
      <c r="A22" s="12" t="s">
        <v>15</v>
      </c>
      <c r="B22" s="8">
        <f t="shared" ref="B22:P22" si="35">SUM(B20:B21)</f>
        <v>92044478.440000013</v>
      </c>
      <c r="C22" s="8">
        <f t="shared" si="35"/>
        <v>4538764.870000001</v>
      </c>
      <c r="D22" s="8">
        <f t="shared" si="35"/>
        <v>2843992</v>
      </c>
      <c r="E22" s="8">
        <f t="shared" si="35"/>
        <v>1694772.870000001</v>
      </c>
      <c r="F22" s="8">
        <f t="shared" si="35"/>
        <v>4528764.870000001</v>
      </c>
      <c r="G22" s="8">
        <f t="shared" si="35"/>
        <v>5074982</v>
      </c>
      <c r="H22" s="8">
        <f t="shared" si="35"/>
        <v>-546217.12999999896</v>
      </c>
      <c r="I22" s="7">
        <f t="shared" si="35"/>
        <v>23561764.870000001</v>
      </c>
      <c r="J22" s="7">
        <f t="shared" si="35"/>
        <v>4323530</v>
      </c>
      <c r="K22" s="8">
        <f t="shared" si="35"/>
        <v>19238234.870000001</v>
      </c>
      <c r="L22" s="8">
        <f t="shared" si="35"/>
        <v>4528764.870000001</v>
      </c>
      <c r="M22" s="8">
        <f t="shared" si="35"/>
        <v>4303071</v>
      </c>
      <c r="N22" s="8">
        <f t="shared" si="35"/>
        <v>225693.87000000104</v>
      </c>
      <c r="O22" s="8">
        <f t="shared" si="35"/>
        <v>4431264.870000001</v>
      </c>
      <c r="P22" s="8">
        <f t="shared" si="35"/>
        <v>4316579</v>
      </c>
      <c r="Q22" s="8">
        <f>+O22-P22</f>
        <v>114685.87000000104</v>
      </c>
      <c r="R22" s="8">
        <f t="shared" ref="R22:AO22" si="36">SUM(R20:R21)</f>
        <v>4528764.870000001</v>
      </c>
      <c r="S22" s="8">
        <f t="shared" si="36"/>
        <v>5300962</v>
      </c>
      <c r="T22" s="8">
        <f t="shared" si="36"/>
        <v>-772197.12999999896</v>
      </c>
      <c r="U22" s="8">
        <f t="shared" si="36"/>
        <v>4581264.870000001</v>
      </c>
      <c r="V22" s="8">
        <f t="shared" si="36"/>
        <v>5855496</v>
      </c>
      <c r="W22" s="8">
        <f t="shared" si="36"/>
        <v>-1274231.129999999</v>
      </c>
      <c r="X22" s="8">
        <f t="shared" si="36"/>
        <v>0</v>
      </c>
      <c r="Y22" s="8">
        <f t="shared" si="36"/>
        <v>0</v>
      </c>
      <c r="Z22" s="8">
        <f t="shared" si="36"/>
        <v>0</v>
      </c>
      <c r="AA22" s="8">
        <f t="shared" si="36"/>
        <v>0</v>
      </c>
      <c r="AB22" s="8">
        <f t="shared" si="36"/>
        <v>0</v>
      </c>
      <c r="AC22" s="8">
        <f t="shared" si="36"/>
        <v>0</v>
      </c>
      <c r="AD22" s="8">
        <f t="shared" si="36"/>
        <v>0</v>
      </c>
      <c r="AE22" s="8">
        <f t="shared" si="36"/>
        <v>0</v>
      </c>
      <c r="AF22" s="8">
        <f t="shared" si="36"/>
        <v>0</v>
      </c>
      <c r="AG22" s="8">
        <f t="shared" si="36"/>
        <v>0</v>
      </c>
      <c r="AH22" s="8">
        <f t="shared" si="36"/>
        <v>0</v>
      </c>
      <c r="AI22" s="8">
        <f t="shared" si="36"/>
        <v>0</v>
      </c>
      <c r="AJ22" s="8">
        <f t="shared" si="36"/>
        <v>0</v>
      </c>
      <c r="AK22" s="8">
        <f t="shared" si="36"/>
        <v>0</v>
      </c>
      <c r="AL22" s="8">
        <f t="shared" si="36"/>
        <v>0</v>
      </c>
      <c r="AM22" s="8">
        <f t="shared" si="36"/>
        <v>50699354.090000004</v>
      </c>
      <c r="AN22" s="8">
        <f t="shared" si="36"/>
        <v>32018612</v>
      </c>
      <c r="AO22" s="8">
        <f>SUM(AO20:AO21)</f>
        <v>18680742.090000007</v>
      </c>
      <c r="AP22" s="31">
        <f>+AO22/AM22</f>
        <v>0.3684611456161454</v>
      </c>
      <c r="AQ22" s="34"/>
      <c r="AR22" s="50">
        <f>W22/U22*100</f>
        <v>-27.813958942740602</v>
      </c>
      <c r="AS22" s="95"/>
      <c r="AT22" s="100"/>
      <c r="AU22" s="95"/>
      <c r="AV22" s="95"/>
      <c r="AW22" s="2"/>
      <c r="AX22" s="131"/>
      <c r="AY22" s="132"/>
      <c r="AZ22" s="2">
        <f t="shared" si="28"/>
        <v>0</v>
      </c>
      <c r="BA22" s="133"/>
    </row>
    <row r="23" spans="1:53" x14ac:dyDescent="0.25">
      <c r="A23" s="12" t="s">
        <v>1</v>
      </c>
      <c r="B23" s="8">
        <f t="shared" ref="B23:AO23" si="37">+B22+B19</f>
        <v>1834176146.4400001</v>
      </c>
      <c r="C23" s="8">
        <f t="shared" si="37"/>
        <v>101768928.87</v>
      </c>
      <c r="D23" s="8">
        <f t="shared" si="37"/>
        <v>83492177</v>
      </c>
      <c r="E23" s="8">
        <f t="shared" si="37"/>
        <v>18276751.870000001</v>
      </c>
      <c r="F23" s="8">
        <f t="shared" si="37"/>
        <v>106960428.87</v>
      </c>
      <c r="G23" s="8">
        <f t="shared" si="37"/>
        <v>125664362</v>
      </c>
      <c r="H23" s="8">
        <f t="shared" si="37"/>
        <v>-18703933.129999999</v>
      </c>
      <c r="I23" s="7">
        <f t="shared" si="37"/>
        <v>188354428.87</v>
      </c>
      <c r="J23" s="8">
        <f t="shared" si="37"/>
        <v>104545284</v>
      </c>
      <c r="K23" s="8">
        <f t="shared" si="37"/>
        <v>83809144.870000005</v>
      </c>
      <c r="L23" s="8">
        <f t="shared" si="37"/>
        <v>165860428.87</v>
      </c>
      <c r="M23" s="8">
        <f t="shared" si="37"/>
        <v>131191806</v>
      </c>
      <c r="N23" s="8">
        <f t="shared" si="37"/>
        <v>34668622.870000005</v>
      </c>
      <c r="O23" s="8">
        <f t="shared" si="37"/>
        <v>176099928.87</v>
      </c>
      <c r="P23" s="8">
        <f t="shared" si="37"/>
        <v>99785304</v>
      </c>
      <c r="Q23" s="8">
        <f t="shared" si="37"/>
        <v>76314624.870000005</v>
      </c>
      <c r="R23" s="8">
        <f t="shared" si="37"/>
        <v>159136428.87</v>
      </c>
      <c r="S23" s="8">
        <f t="shared" si="37"/>
        <v>136642011</v>
      </c>
      <c r="T23" s="8">
        <f t="shared" si="37"/>
        <v>22494417.870000001</v>
      </c>
      <c r="U23" s="8">
        <f t="shared" si="37"/>
        <v>152173928.87</v>
      </c>
      <c r="V23" s="8">
        <f t="shared" si="37"/>
        <v>109466653</v>
      </c>
      <c r="W23" s="8">
        <f t="shared" si="37"/>
        <v>42707275.870000005</v>
      </c>
      <c r="X23" s="8">
        <f t="shared" si="37"/>
        <v>0</v>
      </c>
      <c r="Y23" s="8">
        <f t="shared" si="37"/>
        <v>0</v>
      </c>
      <c r="Z23" s="8">
        <f t="shared" si="37"/>
        <v>0</v>
      </c>
      <c r="AA23" s="8">
        <f t="shared" si="37"/>
        <v>0</v>
      </c>
      <c r="AB23" s="8">
        <f t="shared" si="37"/>
        <v>0</v>
      </c>
      <c r="AC23" s="8">
        <f t="shared" si="37"/>
        <v>0</v>
      </c>
      <c r="AD23" s="8">
        <f t="shared" si="37"/>
        <v>0</v>
      </c>
      <c r="AE23" s="8">
        <f t="shared" si="37"/>
        <v>0</v>
      </c>
      <c r="AF23" s="8">
        <f t="shared" si="37"/>
        <v>0</v>
      </c>
      <c r="AG23" s="8">
        <f t="shared" si="37"/>
        <v>0</v>
      </c>
      <c r="AH23" s="8">
        <f t="shared" si="37"/>
        <v>0</v>
      </c>
      <c r="AI23" s="8">
        <f t="shared" si="37"/>
        <v>0</v>
      </c>
      <c r="AJ23" s="8">
        <f t="shared" si="37"/>
        <v>0</v>
      </c>
      <c r="AK23" s="8">
        <f t="shared" si="37"/>
        <v>0</v>
      </c>
      <c r="AL23" s="8">
        <f t="shared" si="37"/>
        <v>0</v>
      </c>
      <c r="AM23" s="8">
        <f t="shared" si="37"/>
        <v>1050354502.09</v>
      </c>
      <c r="AN23" s="8">
        <f t="shared" si="37"/>
        <v>790787597</v>
      </c>
      <c r="AO23" s="8">
        <f>+AO22+AO19</f>
        <v>259566905.09</v>
      </c>
      <c r="AP23" s="31">
        <f>+AO23/AM23</f>
        <v>0.24712314230434831</v>
      </c>
      <c r="AQ23" s="34"/>
      <c r="AR23" s="50">
        <f>W23/U23*100</f>
        <v>28.064778367182868</v>
      </c>
      <c r="AS23" s="95"/>
      <c r="AT23" s="95"/>
      <c r="AU23" s="95"/>
      <c r="AV23" s="95"/>
      <c r="AX23" s="131"/>
      <c r="AY23" s="132"/>
      <c r="AZ23" s="2">
        <f t="shared" si="28"/>
        <v>0</v>
      </c>
      <c r="BA23" s="133"/>
    </row>
    <row r="24" spans="1:53" x14ac:dyDescent="0.25">
      <c r="A24" s="22" t="s">
        <v>58</v>
      </c>
      <c r="B24" s="4">
        <f>+'202501anual'!B64</f>
        <v>1451607000</v>
      </c>
      <c r="C24" s="4">
        <f>+B24/12</f>
        <v>120967250</v>
      </c>
      <c r="D24" s="4">
        <f>+[24]Resultados!$C$41</f>
        <v>110534499.42</v>
      </c>
      <c r="E24" s="4">
        <f t="shared" ref="E24:E87" si="38">+C24-D24</f>
        <v>10432750.579999998</v>
      </c>
      <c r="F24" s="4">
        <f>+'202501anual'!D64</f>
        <v>120967250</v>
      </c>
      <c r="G24" s="4">
        <f>+[25]Resultados!$D$41-[25]Resultados!$D$59</f>
        <v>114058122</v>
      </c>
      <c r="H24" s="4">
        <f t="shared" ref="H24:H87" si="39">+F24-G24</f>
        <v>6909128</v>
      </c>
      <c r="I24" s="4">
        <f>+'202501anual'!E64</f>
        <v>120967250</v>
      </c>
      <c r="J24" s="4">
        <f>+[26]Resultados!$E$41</f>
        <v>116362938</v>
      </c>
      <c r="K24" s="4">
        <f t="shared" ref="K24:K44" si="40">+I24-J24</f>
        <v>4604312</v>
      </c>
      <c r="L24" s="4">
        <f>+'202501anual'!F64</f>
        <v>120967250</v>
      </c>
      <c r="M24" s="4">
        <v>109322446</v>
      </c>
      <c r="N24" s="4">
        <f t="shared" ref="N24:N30" si="41">+L24-M24</f>
        <v>11644804</v>
      </c>
      <c r="O24" s="4">
        <f>+'202501anual'!G64</f>
        <v>120967250</v>
      </c>
      <c r="P24" s="4">
        <v>108537735</v>
      </c>
      <c r="Q24" s="4">
        <f>+O24-P24</f>
        <v>12429515</v>
      </c>
      <c r="R24" s="4">
        <f>+'202501anual'!H64</f>
        <v>120967250</v>
      </c>
      <c r="S24" s="4">
        <v>109832411</v>
      </c>
      <c r="T24" s="4">
        <f t="shared" ref="T24:T44" si="42">+R24-S24</f>
        <v>11134839</v>
      </c>
      <c r="U24" s="4">
        <f>+'202501anual'!I64</f>
        <v>120967250</v>
      </c>
      <c r="V24" s="4">
        <f>+[30]Resultados!$I$41</f>
        <v>112145629</v>
      </c>
      <c r="W24" s="4">
        <f t="shared" ref="W24:W30" si="43">+U24-V24</f>
        <v>8821621</v>
      </c>
      <c r="X24" s="4"/>
      <c r="Y24" s="4"/>
      <c r="Z24" s="4">
        <f t="shared" ref="Z24:Z44" si="44">+X24-Y24</f>
        <v>0</v>
      </c>
      <c r="AA24" s="4"/>
      <c r="AB24" s="4"/>
      <c r="AC24" s="4">
        <f t="shared" ref="AC24:AC44" si="45">+AA24-AB24</f>
        <v>0</v>
      </c>
      <c r="AD24" s="4"/>
      <c r="AE24" s="4"/>
      <c r="AF24" s="4">
        <f t="shared" ref="AF24:AF87" si="46">+AD24-AE24</f>
        <v>0</v>
      </c>
      <c r="AG24" s="4"/>
      <c r="AH24" s="4"/>
      <c r="AI24" s="4">
        <f t="shared" ref="AI24:AI87" si="47">+AG24-AH24</f>
        <v>0</v>
      </c>
      <c r="AJ24" s="4"/>
      <c r="AK24" s="4"/>
      <c r="AL24" s="4">
        <f t="shared" ref="AL24:AL87" si="48">+AJ24-AK24</f>
        <v>0</v>
      </c>
      <c r="AM24" s="4">
        <f t="shared" ref="AM24:AM30" si="49">+C24+F24+I24+L24+O24+R24+U24+X24+AA24+AD24+AG24+AJ24</f>
        <v>846770750</v>
      </c>
      <c r="AN24" s="4">
        <f t="shared" ref="AN24:AN44" si="50">+D24+G24+J24+M24+P24+S24+V24+Y24+AB24+AE24+AH24+AK24</f>
        <v>780793780.42000008</v>
      </c>
      <c r="AO24" s="4">
        <f t="shared" ref="AO24:AO44" si="51">+AM24-AN24</f>
        <v>65976969.579999924</v>
      </c>
      <c r="AP24" s="43">
        <f>+AO24/AM24*100</f>
        <v>7.7915976171826813</v>
      </c>
      <c r="AQ24" s="34"/>
      <c r="AR24" s="38"/>
      <c r="AS24" s="95"/>
      <c r="AT24" s="95"/>
      <c r="AU24" s="95"/>
      <c r="AV24" s="95"/>
      <c r="AX24" s="131"/>
      <c r="AY24" s="132"/>
      <c r="AZ24" s="2">
        <f t="shared" si="28"/>
        <v>0</v>
      </c>
      <c r="BA24" s="133"/>
    </row>
    <row r="25" spans="1:53" ht="45" hidden="1" x14ac:dyDescent="0.25">
      <c r="A25" s="21" t="s">
        <v>65</v>
      </c>
      <c r="B25" s="4">
        <v>0</v>
      </c>
      <c r="C25" s="4">
        <v>0</v>
      </c>
      <c r="D25" s="4">
        <v>0</v>
      </c>
      <c r="E25" s="4">
        <f t="shared" si="38"/>
        <v>0</v>
      </c>
      <c r="F25" s="4"/>
      <c r="G25" s="10"/>
      <c r="H25" s="4">
        <f t="shared" si="39"/>
        <v>0</v>
      </c>
      <c r="I25" s="4"/>
      <c r="J25" s="10"/>
      <c r="K25" s="4">
        <f t="shared" si="40"/>
        <v>0</v>
      </c>
      <c r="L25" s="4"/>
      <c r="M25" s="4"/>
      <c r="N25" s="4">
        <f t="shared" si="41"/>
        <v>0</v>
      </c>
      <c r="O25" s="4"/>
      <c r="P25" s="10"/>
      <c r="Q25" s="4">
        <f t="shared" ref="Q25:Q30" si="52">+O25-P25</f>
        <v>0</v>
      </c>
      <c r="R25" s="4"/>
      <c r="S25" s="4"/>
      <c r="T25" s="4">
        <f t="shared" si="42"/>
        <v>0</v>
      </c>
      <c r="U25" s="4"/>
      <c r="V25" s="4"/>
      <c r="W25" s="4">
        <f t="shared" si="43"/>
        <v>0</v>
      </c>
      <c r="X25" s="4"/>
      <c r="Y25" s="4"/>
      <c r="Z25" s="4">
        <f t="shared" si="44"/>
        <v>0</v>
      </c>
      <c r="AA25" s="4"/>
      <c r="AB25" s="4"/>
      <c r="AC25" s="4">
        <f t="shared" si="45"/>
        <v>0</v>
      </c>
      <c r="AD25" s="4"/>
      <c r="AE25" s="10"/>
      <c r="AF25" s="4">
        <f t="shared" si="46"/>
        <v>0</v>
      </c>
      <c r="AG25" s="4"/>
      <c r="AH25" s="10"/>
      <c r="AI25" s="4">
        <f t="shared" si="47"/>
        <v>0</v>
      </c>
      <c r="AJ25" s="4"/>
      <c r="AK25" s="4"/>
      <c r="AL25" s="4">
        <f t="shared" si="48"/>
        <v>0</v>
      </c>
      <c r="AM25" s="4">
        <f t="shared" si="49"/>
        <v>0</v>
      </c>
      <c r="AN25" s="4">
        <f t="shared" si="50"/>
        <v>0</v>
      </c>
      <c r="AO25" s="4">
        <f t="shared" si="51"/>
        <v>0</v>
      </c>
      <c r="AP25" s="43" t="e">
        <f t="shared" ref="AP25:AP44" si="53">+AO25/AM25*100</f>
        <v>#DIV/0!</v>
      </c>
      <c r="AQ25" s="34"/>
      <c r="AR25" s="38"/>
      <c r="AS25" s="95"/>
      <c r="AT25" s="95"/>
      <c r="AU25" s="95"/>
      <c r="AV25" s="95"/>
      <c r="AX25" s="130"/>
      <c r="AY25" s="2"/>
      <c r="AZ25" s="2">
        <f t="shared" si="28"/>
        <v>0</v>
      </c>
      <c r="BA25" s="133"/>
    </row>
    <row r="26" spans="1:53" hidden="1" x14ac:dyDescent="0.25">
      <c r="A26" s="5" t="s">
        <v>16</v>
      </c>
      <c r="B26" s="4">
        <f>+'202501anual'!B66</f>
        <v>12000000</v>
      </c>
      <c r="C26" s="4">
        <f>+'202501anual'!C66</f>
        <v>0</v>
      </c>
      <c r="D26" s="4"/>
      <c r="E26" s="4">
        <f t="shared" si="38"/>
        <v>0</v>
      </c>
      <c r="F26" s="4">
        <f>+'202501anual'!D66</f>
        <v>0</v>
      </c>
      <c r="G26" s="4"/>
      <c r="H26" s="4">
        <f t="shared" si="39"/>
        <v>0</v>
      </c>
      <c r="I26" s="4">
        <f>+'202501anual'!E66</f>
        <v>0</v>
      </c>
      <c r="J26" s="4">
        <v>0</v>
      </c>
      <c r="K26" s="4">
        <f t="shared" si="40"/>
        <v>0</v>
      </c>
      <c r="L26" s="4">
        <f>+'202501anual'!F66</f>
        <v>0</v>
      </c>
      <c r="M26" s="4"/>
      <c r="N26" s="4">
        <f t="shared" si="41"/>
        <v>0</v>
      </c>
      <c r="O26" s="4"/>
      <c r="P26" s="4"/>
      <c r="Q26" s="4">
        <f t="shared" si="52"/>
        <v>0</v>
      </c>
      <c r="R26" s="4"/>
      <c r="S26" s="4"/>
      <c r="T26" s="4">
        <f t="shared" si="42"/>
        <v>0</v>
      </c>
      <c r="U26" s="4"/>
      <c r="V26" s="4"/>
      <c r="W26" s="4">
        <f t="shared" si="43"/>
        <v>0</v>
      </c>
      <c r="X26" s="4"/>
      <c r="Y26" s="4"/>
      <c r="Z26" s="4">
        <f t="shared" si="44"/>
        <v>0</v>
      </c>
      <c r="AA26" s="4"/>
      <c r="AB26" s="4"/>
      <c r="AC26" s="4">
        <f t="shared" si="45"/>
        <v>0</v>
      </c>
      <c r="AD26" s="4"/>
      <c r="AE26" s="4"/>
      <c r="AF26" s="4">
        <f t="shared" si="46"/>
        <v>0</v>
      </c>
      <c r="AG26" s="4"/>
      <c r="AH26" s="4"/>
      <c r="AI26" s="4">
        <f t="shared" si="47"/>
        <v>0</v>
      </c>
      <c r="AJ26" s="4"/>
      <c r="AK26" s="4"/>
      <c r="AL26" s="4">
        <f t="shared" si="48"/>
        <v>0</v>
      </c>
      <c r="AM26" s="4">
        <f t="shared" si="49"/>
        <v>0</v>
      </c>
      <c r="AN26" s="4">
        <f t="shared" si="50"/>
        <v>0</v>
      </c>
      <c r="AO26" s="4">
        <f t="shared" si="51"/>
        <v>0</v>
      </c>
      <c r="AP26" s="43" t="e">
        <f t="shared" si="53"/>
        <v>#DIV/0!</v>
      </c>
      <c r="AQ26" s="34"/>
      <c r="AR26" s="50"/>
      <c r="AS26" s="95"/>
      <c r="AT26" s="95"/>
      <c r="AU26" s="95"/>
      <c r="AV26" s="95"/>
      <c r="AX26" s="130"/>
      <c r="AY26" s="2"/>
      <c r="AZ26" s="2">
        <f t="shared" si="28"/>
        <v>0</v>
      </c>
      <c r="BA26" s="133"/>
    </row>
    <row r="27" spans="1:53" x14ac:dyDescent="0.25">
      <c r="A27" s="5" t="s">
        <v>17</v>
      </c>
      <c r="B27" s="4">
        <f>+'202501anual'!B69</f>
        <v>622200000</v>
      </c>
      <c r="C27" s="4">
        <f>+'202501anual'!C69</f>
        <v>51850000</v>
      </c>
      <c r="D27" s="4">
        <v>23350000</v>
      </c>
      <c r="E27" s="4">
        <f t="shared" si="38"/>
        <v>28500000</v>
      </c>
      <c r="F27" s="4">
        <f>+'202501anual'!D69</f>
        <v>51850000</v>
      </c>
      <c r="G27" s="4">
        <f>+'202501anual'!Q69</f>
        <v>46820000</v>
      </c>
      <c r="H27" s="4">
        <f t="shared" si="39"/>
        <v>5030000</v>
      </c>
      <c r="I27" s="4">
        <f>+'202501anual'!E69</f>
        <v>51850000</v>
      </c>
      <c r="J27" s="4">
        <f>+'202501anual'!R69</f>
        <v>50930300</v>
      </c>
      <c r="K27" s="4">
        <f t="shared" si="40"/>
        <v>919700</v>
      </c>
      <c r="L27" s="4">
        <f>+'202501anual'!F69</f>
        <v>51850000</v>
      </c>
      <c r="M27" s="4">
        <f>+'202501anual'!S69</f>
        <v>50630000</v>
      </c>
      <c r="N27" s="4">
        <f>+L27-M27</f>
        <v>1220000</v>
      </c>
      <c r="O27" s="4">
        <f>+'202501anual'!G69</f>
        <v>51850000</v>
      </c>
      <c r="P27" s="4">
        <f>+'202501anual'!T69</f>
        <v>50590000</v>
      </c>
      <c r="Q27" s="4">
        <f t="shared" si="52"/>
        <v>1260000</v>
      </c>
      <c r="R27" s="4">
        <f>+'202501anual'!H69</f>
        <v>51850000</v>
      </c>
      <c r="S27" s="4">
        <v>12450300</v>
      </c>
      <c r="T27" s="4">
        <f t="shared" si="42"/>
        <v>39399700</v>
      </c>
      <c r="U27" s="4">
        <f>+'202501anual'!I69</f>
        <v>51850000</v>
      </c>
      <c r="V27" s="4">
        <f>+'202501anual'!V69</f>
        <v>132640000</v>
      </c>
      <c r="W27" s="4">
        <f t="shared" si="43"/>
        <v>-80790000</v>
      </c>
      <c r="X27" s="4"/>
      <c r="Y27" s="4"/>
      <c r="Z27" s="4">
        <f t="shared" si="44"/>
        <v>0</v>
      </c>
      <c r="AA27" s="4"/>
      <c r="AB27" s="4"/>
      <c r="AC27" s="4">
        <f t="shared" si="45"/>
        <v>0</v>
      </c>
      <c r="AD27" s="4"/>
      <c r="AE27" s="4"/>
      <c r="AF27" s="4">
        <f t="shared" si="46"/>
        <v>0</v>
      </c>
      <c r="AG27" s="4"/>
      <c r="AH27" s="4"/>
      <c r="AI27" s="4">
        <f t="shared" si="47"/>
        <v>0</v>
      </c>
      <c r="AJ27" s="4"/>
      <c r="AK27" s="4"/>
      <c r="AL27" s="4">
        <f t="shared" si="48"/>
        <v>0</v>
      </c>
      <c r="AM27" s="4">
        <f>+C27+F27+I27+L27+O27+R27+U27+X27+AA27+AD27+AG27+AJ27</f>
        <v>362950000</v>
      </c>
      <c r="AN27" s="4">
        <f t="shared" si="50"/>
        <v>367410600</v>
      </c>
      <c r="AO27" s="4">
        <f t="shared" si="51"/>
        <v>-4460600</v>
      </c>
      <c r="AP27" s="43">
        <f t="shared" si="53"/>
        <v>-1.2289847086375534</v>
      </c>
      <c r="AQ27" s="34"/>
      <c r="AR27" s="49"/>
      <c r="AS27" s="95"/>
      <c r="AT27" s="95"/>
      <c r="AU27" s="95"/>
      <c r="AV27" s="95"/>
      <c r="AX27" s="131"/>
      <c r="AY27" s="132"/>
      <c r="AZ27" s="2">
        <f t="shared" si="28"/>
        <v>0</v>
      </c>
      <c r="BA27" s="133"/>
    </row>
    <row r="28" spans="1:53" x14ac:dyDescent="0.25">
      <c r="A28" s="5" t="s">
        <v>7</v>
      </c>
      <c r="B28" s="4">
        <f>+'202501anual'!B74</f>
        <v>288200000</v>
      </c>
      <c r="C28" s="4">
        <f>+'202501anual'!C74</f>
        <v>13400000</v>
      </c>
      <c r="D28" s="4"/>
      <c r="E28" s="4">
        <f t="shared" si="38"/>
        <v>13400000</v>
      </c>
      <c r="F28" s="4">
        <f>+'202501anual'!D74</f>
        <v>13400000</v>
      </c>
      <c r="G28" s="4">
        <f>+'202501anual'!Q74</f>
        <v>10463119</v>
      </c>
      <c r="H28" s="4">
        <f t="shared" si="39"/>
        <v>2936881</v>
      </c>
      <c r="I28" s="4">
        <f>+'202501anual'!E74</f>
        <v>32400000</v>
      </c>
      <c r="J28" s="4">
        <f>+'202501anual'!R74</f>
        <v>7587919</v>
      </c>
      <c r="K28" s="4">
        <f t="shared" si="40"/>
        <v>24812081</v>
      </c>
      <c r="L28" s="4">
        <f>+'202501anual'!F74</f>
        <v>33400000</v>
      </c>
      <c r="M28" s="4">
        <f>+'202501anual'!S74</f>
        <v>2875000</v>
      </c>
      <c r="N28" s="4">
        <f>+L28-M28</f>
        <v>30525000</v>
      </c>
      <c r="O28" s="4">
        <f>+'202501anual'!G74</f>
        <v>21400000</v>
      </c>
      <c r="P28" s="4">
        <f>+'202501anual'!T74</f>
        <v>20925838</v>
      </c>
      <c r="Q28" s="4">
        <f t="shared" si="52"/>
        <v>474162</v>
      </c>
      <c r="R28" s="4">
        <f>+'202501anual'!H74</f>
        <v>26400000</v>
      </c>
      <c r="S28" s="4">
        <v>0</v>
      </c>
      <c r="T28" s="4">
        <f t="shared" si="42"/>
        <v>26400000</v>
      </c>
      <c r="U28" s="4">
        <f>+'202501anual'!I74</f>
        <v>15876000</v>
      </c>
      <c r="V28" s="4">
        <f>+'202501anual'!V74</f>
        <v>26382334</v>
      </c>
      <c r="W28" s="4">
        <f t="shared" si="43"/>
        <v>-10506334</v>
      </c>
      <c r="X28" s="4"/>
      <c r="Y28" s="4"/>
      <c r="Z28" s="4">
        <f t="shared" si="44"/>
        <v>0</v>
      </c>
      <c r="AA28" s="4"/>
      <c r="AB28" s="4"/>
      <c r="AC28" s="82">
        <f t="shared" si="45"/>
        <v>0</v>
      </c>
      <c r="AD28" s="4"/>
      <c r="AE28" s="4"/>
      <c r="AF28" s="4">
        <f t="shared" si="46"/>
        <v>0</v>
      </c>
      <c r="AG28" s="4"/>
      <c r="AH28" s="4"/>
      <c r="AI28" s="4">
        <f t="shared" si="47"/>
        <v>0</v>
      </c>
      <c r="AJ28" s="4"/>
      <c r="AK28" s="4"/>
      <c r="AL28" s="4">
        <f t="shared" si="48"/>
        <v>0</v>
      </c>
      <c r="AM28" s="4">
        <f>+C28+F28+I28+L28+O28+R28+U28+X28+AA28+AD28+AG28+AJ28</f>
        <v>156276000</v>
      </c>
      <c r="AN28" s="4">
        <f t="shared" si="50"/>
        <v>68234210</v>
      </c>
      <c r="AO28" s="4">
        <f t="shared" si="51"/>
        <v>88041790</v>
      </c>
      <c r="AP28" s="43">
        <f t="shared" si="53"/>
        <v>56.337371061455379</v>
      </c>
      <c r="AQ28" s="34"/>
      <c r="AR28" s="49"/>
      <c r="AS28" s="95"/>
      <c r="AT28" s="95"/>
      <c r="AU28" s="95"/>
      <c r="AV28" s="95"/>
      <c r="AX28" s="131"/>
      <c r="AY28" s="132"/>
      <c r="AZ28" s="2">
        <f t="shared" si="28"/>
        <v>0</v>
      </c>
      <c r="BA28" s="132"/>
    </row>
    <row r="29" spans="1:53" x14ac:dyDescent="0.25">
      <c r="A29" s="5" t="s">
        <v>57</v>
      </c>
      <c r="B29" s="4">
        <f>+'202501anual'!B88</f>
        <v>253720800</v>
      </c>
      <c r="C29" s="4">
        <f>+'202501anual'!C88</f>
        <v>6775000</v>
      </c>
      <c r="D29" s="4">
        <v>5803614</v>
      </c>
      <c r="E29" s="4">
        <f t="shared" si="38"/>
        <v>971386</v>
      </c>
      <c r="F29" s="4">
        <f>+'202501anual'!D88</f>
        <v>11389500</v>
      </c>
      <c r="G29" s="4">
        <f>+'202501anual'!Q88</f>
        <v>7933960</v>
      </c>
      <c r="H29" s="4">
        <f t="shared" si="39"/>
        <v>3455540</v>
      </c>
      <c r="I29" s="4">
        <f>+'202501anual'!E88</f>
        <v>27889500</v>
      </c>
      <c r="J29" s="4">
        <f>+'202501anual'!R88</f>
        <v>3015760</v>
      </c>
      <c r="K29" s="4">
        <f t="shared" si="40"/>
        <v>24873740</v>
      </c>
      <c r="L29" s="4">
        <f>+'202501anual'!F88</f>
        <v>17889500</v>
      </c>
      <c r="M29" s="4">
        <f>+'202501anual'!S88</f>
        <v>5935409</v>
      </c>
      <c r="N29" s="4">
        <f t="shared" si="41"/>
        <v>11954091</v>
      </c>
      <c r="O29" s="4">
        <f>+'202501anual'!G88</f>
        <v>4850000</v>
      </c>
      <c r="P29" s="4">
        <f>+'202501anual'!T88</f>
        <v>6732876</v>
      </c>
      <c r="Q29" s="4">
        <f t="shared" si="52"/>
        <v>-1882876</v>
      </c>
      <c r="R29" s="4">
        <f>+'202501anual'!H88</f>
        <v>7313500</v>
      </c>
      <c r="S29" s="4">
        <v>19332099</v>
      </c>
      <c r="T29" s="4">
        <f t="shared" si="42"/>
        <v>-12018599</v>
      </c>
      <c r="U29" s="4">
        <f>+'202501anual'!I88</f>
        <v>4850000</v>
      </c>
      <c r="V29" s="4">
        <f>+'202501anual'!V88+'202501anual'!V65</f>
        <v>13190416</v>
      </c>
      <c r="W29" s="4">
        <f t="shared" si="43"/>
        <v>-8340416</v>
      </c>
      <c r="X29" s="4"/>
      <c r="Y29" s="4"/>
      <c r="Z29" s="4">
        <f t="shared" si="44"/>
        <v>0</v>
      </c>
      <c r="AA29" s="4"/>
      <c r="AB29" s="4"/>
      <c r="AC29" s="4">
        <f t="shared" si="45"/>
        <v>0</v>
      </c>
      <c r="AD29" s="4"/>
      <c r="AE29" s="4"/>
      <c r="AF29" s="4">
        <f t="shared" si="46"/>
        <v>0</v>
      </c>
      <c r="AG29" s="4"/>
      <c r="AH29" s="4"/>
      <c r="AI29" s="4">
        <f t="shared" si="47"/>
        <v>0</v>
      </c>
      <c r="AJ29" s="4"/>
      <c r="AK29" s="4"/>
      <c r="AL29" s="4">
        <f t="shared" si="48"/>
        <v>0</v>
      </c>
      <c r="AM29" s="4">
        <f>+C29+F29+I29+L29+O29+R29+U29+X29+AA29+AD29+AG29+AJ29</f>
        <v>80957000</v>
      </c>
      <c r="AN29" s="4">
        <f t="shared" si="50"/>
        <v>61944134</v>
      </c>
      <c r="AO29" s="4">
        <f t="shared" si="51"/>
        <v>19012866</v>
      </c>
      <c r="AP29" s="43">
        <f t="shared" si="53"/>
        <v>23.485141494867644</v>
      </c>
      <c r="AQ29" s="34"/>
      <c r="AR29" s="36"/>
      <c r="AS29" s="95"/>
      <c r="AT29" s="100"/>
      <c r="AU29" s="95"/>
      <c r="AV29" s="95"/>
      <c r="AX29" s="130"/>
      <c r="AZ29" s="2">
        <f t="shared" si="28"/>
        <v>0</v>
      </c>
    </row>
    <row r="30" spans="1:53" hidden="1" x14ac:dyDescent="0.25">
      <c r="A30" s="5" t="s">
        <v>66</v>
      </c>
      <c r="B30" s="4">
        <v>0</v>
      </c>
      <c r="C30" s="4">
        <v>0</v>
      </c>
      <c r="D30" s="4"/>
      <c r="E30" s="4"/>
      <c r="F30" s="4"/>
      <c r="G30" s="4"/>
      <c r="H30" s="4"/>
      <c r="I30" s="4"/>
      <c r="J30" s="4"/>
      <c r="K30" s="4">
        <f t="shared" si="40"/>
        <v>0</v>
      </c>
      <c r="L30" s="4">
        <f>+'202501anual'!F99</f>
        <v>0</v>
      </c>
      <c r="M30" s="4">
        <v>0</v>
      </c>
      <c r="N30" s="4">
        <f t="shared" si="41"/>
        <v>0</v>
      </c>
      <c r="O30" s="4">
        <f>+'202501anual'!G99</f>
        <v>0</v>
      </c>
      <c r="P30" s="4">
        <v>0</v>
      </c>
      <c r="Q30" s="4">
        <f t="shared" si="52"/>
        <v>0</v>
      </c>
      <c r="R30" s="4">
        <f>+'202501anual'!H99</f>
        <v>0</v>
      </c>
      <c r="S30" s="4">
        <v>0</v>
      </c>
      <c r="T30" s="4">
        <f t="shared" si="42"/>
        <v>0</v>
      </c>
      <c r="U30" s="4">
        <f>+'202501anual'!K99</f>
        <v>0</v>
      </c>
      <c r="V30" s="4">
        <v>0</v>
      </c>
      <c r="W30" s="4">
        <f t="shared" si="43"/>
        <v>0</v>
      </c>
      <c r="X30" s="4">
        <f>+'202501anual'!J99</f>
        <v>0</v>
      </c>
      <c r="Y30" s="4">
        <v>0</v>
      </c>
      <c r="Z30" s="4">
        <f t="shared" si="44"/>
        <v>0</v>
      </c>
      <c r="AA30" s="4">
        <f>+'202501anual'!K99</f>
        <v>0</v>
      </c>
      <c r="AB30" s="4"/>
      <c r="AC30" s="4">
        <f t="shared" si="45"/>
        <v>0</v>
      </c>
      <c r="AD30" s="4"/>
      <c r="AE30" s="4"/>
      <c r="AF30" s="4">
        <f t="shared" si="46"/>
        <v>0</v>
      </c>
      <c r="AG30" s="4"/>
      <c r="AH30" s="4"/>
      <c r="AI30" s="4">
        <f t="shared" si="47"/>
        <v>0</v>
      </c>
      <c r="AJ30" s="4">
        <f>+'202501anual'!N99</f>
        <v>0</v>
      </c>
      <c r="AK30" s="4"/>
      <c r="AL30" s="4">
        <f t="shared" si="48"/>
        <v>0</v>
      </c>
      <c r="AM30" s="4">
        <f t="shared" si="49"/>
        <v>0</v>
      </c>
      <c r="AN30" s="4">
        <f t="shared" si="50"/>
        <v>0</v>
      </c>
      <c r="AO30" s="115">
        <f t="shared" si="51"/>
        <v>0</v>
      </c>
      <c r="AP30" s="43" t="e">
        <f t="shared" si="53"/>
        <v>#DIV/0!</v>
      </c>
      <c r="AQ30" s="34"/>
      <c r="AR30" s="38"/>
      <c r="AS30" s="95"/>
      <c r="AT30" s="100"/>
      <c r="AU30" s="100"/>
      <c r="AV30" s="95"/>
      <c r="AX30" s="130"/>
      <c r="AZ30" s="2">
        <f t="shared" si="28"/>
        <v>0</v>
      </c>
    </row>
    <row r="31" spans="1:53" x14ac:dyDescent="0.25">
      <c r="A31" s="12" t="s">
        <v>52</v>
      </c>
      <c r="B31" s="8">
        <f t="shared" ref="B31:AO31" si="54">SUM(B24:B30)</f>
        <v>2627727800</v>
      </c>
      <c r="C31" s="8">
        <f>SUM(C24:C30)</f>
        <v>192992250</v>
      </c>
      <c r="D31" s="8">
        <f t="shared" si="54"/>
        <v>139688113.42000002</v>
      </c>
      <c r="E31" s="8">
        <f t="shared" si="54"/>
        <v>53304136.579999998</v>
      </c>
      <c r="F31" s="8">
        <f t="shared" si="54"/>
        <v>197606750</v>
      </c>
      <c r="G31" s="8">
        <f t="shared" si="54"/>
        <v>179275201</v>
      </c>
      <c r="H31" s="8">
        <f>SUM(H24:H30)</f>
        <v>18331549</v>
      </c>
      <c r="I31" s="7">
        <f t="shared" si="54"/>
        <v>233106750</v>
      </c>
      <c r="J31" s="8">
        <f t="shared" si="54"/>
        <v>177896917</v>
      </c>
      <c r="K31" s="8">
        <f t="shared" si="54"/>
        <v>55209833</v>
      </c>
      <c r="L31" s="8">
        <f t="shared" si="54"/>
        <v>224106750</v>
      </c>
      <c r="M31" s="8">
        <f t="shared" si="54"/>
        <v>168762855</v>
      </c>
      <c r="N31" s="8">
        <f>SUM(N24:N30)</f>
        <v>55343895</v>
      </c>
      <c r="O31" s="8">
        <f t="shared" si="54"/>
        <v>199067250</v>
      </c>
      <c r="P31" s="8">
        <f t="shared" si="54"/>
        <v>186786449</v>
      </c>
      <c r="Q31" s="8">
        <f t="shared" si="54"/>
        <v>12280801</v>
      </c>
      <c r="R31" s="8">
        <f t="shared" si="54"/>
        <v>206530750</v>
      </c>
      <c r="S31" s="8">
        <f t="shared" si="54"/>
        <v>141614810</v>
      </c>
      <c r="T31" s="8">
        <f>SUM(T24:T30)</f>
        <v>64915940</v>
      </c>
      <c r="U31" s="8">
        <f t="shared" ref="U31" si="55">SUM(U24:U30)</f>
        <v>193543250</v>
      </c>
      <c r="V31" s="8">
        <f t="shared" si="54"/>
        <v>284358379</v>
      </c>
      <c r="W31" s="8">
        <f t="shared" si="54"/>
        <v>-90815129</v>
      </c>
      <c r="X31" s="8">
        <f t="shared" si="54"/>
        <v>0</v>
      </c>
      <c r="Y31" s="8">
        <f t="shared" si="54"/>
        <v>0</v>
      </c>
      <c r="Z31" s="8">
        <f t="shared" si="54"/>
        <v>0</v>
      </c>
      <c r="AA31" s="8">
        <f t="shared" si="54"/>
        <v>0</v>
      </c>
      <c r="AB31" s="8">
        <f t="shared" si="54"/>
        <v>0</v>
      </c>
      <c r="AC31" s="8">
        <f t="shared" si="54"/>
        <v>0</v>
      </c>
      <c r="AD31" s="8">
        <f t="shared" si="54"/>
        <v>0</v>
      </c>
      <c r="AE31" s="8">
        <f t="shared" si="54"/>
        <v>0</v>
      </c>
      <c r="AF31" s="8">
        <f t="shared" si="54"/>
        <v>0</v>
      </c>
      <c r="AG31" s="8">
        <f t="shared" si="54"/>
        <v>0</v>
      </c>
      <c r="AH31" s="8">
        <f t="shared" si="54"/>
        <v>0</v>
      </c>
      <c r="AI31" s="8">
        <f t="shared" si="54"/>
        <v>0</v>
      </c>
      <c r="AJ31" s="8">
        <f t="shared" si="54"/>
        <v>0</v>
      </c>
      <c r="AK31" s="8">
        <f t="shared" si="54"/>
        <v>0</v>
      </c>
      <c r="AL31" s="8">
        <f t="shared" si="54"/>
        <v>0</v>
      </c>
      <c r="AM31" s="8">
        <f t="shared" si="54"/>
        <v>1446953750</v>
      </c>
      <c r="AN31" s="8">
        <f t="shared" si="54"/>
        <v>1278382724.4200001</v>
      </c>
      <c r="AO31" s="8">
        <f>SUM(AO24:AO30)</f>
        <v>168571025.57999992</v>
      </c>
      <c r="AP31" s="31">
        <f>+AO31/AM31</f>
        <v>0.11650063146800645</v>
      </c>
      <c r="AQ31" s="34"/>
      <c r="AR31" s="50">
        <f>W31/U31*100</f>
        <v>-46.922395381910761</v>
      </c>
      <c r="AS31" s="95"/>
      <c r="AT31" s="100"/>
      <c r="AU31" s="100"/>
      <c r="AV31" s="95"/>
      <c r="AX31" s="130"/>
      <c r="AZ31" s="2">
        <f t="shared" si="28"/>
        <v>0</v>
      </c>
    </row>
    <row r="32" spans="1:53" x14ac:dyDescent="0.25">
      <c r="A32" s="21" t="s">
        <v>55</v>
      </c>
      <c r="B32" s="4">
        <f>+[13]EjecucionPptalPasiva!$D$317</f>
        <v>246419894</v>
      </c>
      <c r="C32" s="4">
        <v>14235150</v>
      </c>
      <c r="D32" s="4">
        <f>+[24]Resultados!$C$119*0.416</f>
        <v>18184994.46816</v>
      </c>
      <c r="E32" s="4">
        <f t="shared" si="38"/>
        <v>-3949844.4681599997</v>
      </c>
      <c r="F32" s="4">
        <f>+'202501anual'!D102</f>
        <v>21107703.884853005</v>
      </c>
      <c r="G32" s="4">
        <f>23471002+4258221.53</f>
        <v>27729223.530000001</v>
      </c>
      <c r="H32" s="4">
        <f t="shared" si="39"/>
        <v>-6621519.6451469958</v>
      </c>
      <c r="I32" s="4">
        <f>+'202501anual'!E102</f>
        <v>21107703.884853005</v>
      </c>
      <c r="J32" s="4">
        <v>20246081.0394</v>
      </c>
      <c r="K32" s="4">
        <f t="shared" si="40"/>
        <v>861622.84545300528</v>
      </c>
      <c r="L32" s="4">
        <f>+'202501anual'!F102</f>
        <v>21107703.884853005</v>
      </c>
      <c r="M32" s="77">
        <v>18314417</v>
      </c>
      <c r="N32" s="4">
        <f t="shared" ref="N32:N44" si="56">+L32-M32</f>
        <v>2793286.8848530054</v>
      </c>
      <c r="O32" s="4">
        <f>+'202501anual'!G102</f>
        <v>21107703.884853005</v>
      </c>
      <c r="P32" s="77">
        <v>18277702</v>
      </c>
      <c r="Q32" s="77">
        <f t="shared" ref="Q32:Q44" si="57">+O32-P32</f>
        <v>2830001.8848530054</v>
      </c>
      <c r="R32" s="4">
        <f>+'202501anual'!H102</f>
        <v>21107703.884853005</v>
      </c>
      <c r="S32" s="77">
        <v>20188800.323030833</v>
      </c>
      <c r="T32" s="4">
        <f t="shared" si="42"/>
        <v>918903.56182217225</v>
      </c>
      <c r="U32" s="4">
        <f>+'202501anual'!I102</f>
        <v>21107703.884853005</v>
      </c>
      <c r="V32" s="77">
        <v>20008700</v>
      </c>
      <c r="W32" s="4">
        <f>+U32-V32</f>
        <v>1099003.8848530054</v>
      </c>
      <c r="X32" s="127"/>
      <c r="Y32" s="77"/>
      <c r="Z32" s="4">
        <f t="shared" si="44"/>
        <v>0</v>
      </c>
      <c r="AA32" s="77"/>
      <c r="AB32" s="77"/>
      <c r="AC32" s="4">
        <f t="shared" si="45"/>
        <v>0</v>
      </c>
      <c r="AD32" s="77"/>
      <c r="AE32" s="77"/>
      <c r="AF32" s="4">
        <f t="shared" si="46"/>
        <v>0</v>
      </c>
      <c r="AG32" s="77"/>
      <c r="AH32" s="77"/>
      <c r="AI32" s="4">
        <f t="shared" si="47"/>
        <v>0</v>
      </c>
      <c r="AJ32" s="4"/>
      <c r="AK32" s="4"/>
      <c r="AL32" s="4">
        <f t="shared" si="48"/>
        <v>0</v>
      </c>
      <c r="AM32" s="4">
        <f>+C32+F32+I32+L32+O32+R32+U32+X32+AA32+AD32+AG32+AJ32</f>
        <v>140881373.30911803</v>
      </c>
      <c r="AN32" s="4">
        <f t="shared" si="50"/>
        <v>142949918.36059082</v>
      </c>
      <c r="AO32" s="4">
        <f t="shared" si="51"/>
        <v>-2068545.0514727831</v>
      </c>
      <c r="AP32" s="43">
        <f t="shared" si="53"/>
        <v>-1.4682885344495034</v>
      </c>
      <c r="AQ32" s="34"/>
      <c r="AR32" s="36"/>
      <c r="AS32" s="95"/>
      <c r="AT32" s="100"/>
      <c r="AU32" s="95"/>
      <c r="AV32" s="95"/>
      <c r="AW32" s="2"/>
      <c r="AZ32" s="2">
        <f t="shared" si="28"/>
        <v>0</v>
      </c>
    </row>
    <row r="33" spans="1:53" x14ac:dyDescent="0.25">
      <c r="A33" s="21" t="str">
        <f>+'202501anual'!A103</f>
        <v>Contribuciones CRA-SUPER</v>
      </c>
      <c r="B33" s="4">
        <f>+[13]EjecucionPptalPasiva!$D$312</f>
        <v>39000000</v>
      </c>
      <c r="C33" s="4">
        <v>0</v>
      </c>
      <c r="D33" s="4"/>
      <c r="E33" s="4">
        <f t="shared" si="38"/>
        <v>0</v>
      </c>
      <c r="F33" s="4">
        <f>+'202501anual'!D103</f>
        <v>27000000</v>
      </c>
      <c r="G33" s="4">
        <f>+'202501anual'!Q103</f>
        <v>13658000</v>
      </c>
      <c r="H33" s="4">
        <f t="shared" si="39"/>
        <v>13342000</v>
      </c>
      <c r="I33" s="4">
        <f>+'202501anual'!E103</f>
        <v>0</v>
      </c>
      <c r="J33" s="4">
        <v>0</v>
      </c>
      <c r="K33" s="4">
        <f t="shared" si="40"/>
        <v>0</v>
      </c>
      <c r="L33" s="4">
        <f>+'202501anual'!F103</f>
        <v>0</v>
      </c>
      <c r="M33" s="77">
        <v>0</v>
      </c>
      <c r="N33" s="4">
        <f t="shared" si="56"/>
        <v>0</v>
      </c>
      <c r="O33" s="4">
        <f>+'202501anual'!G103</f>
        <v>0</v>
      </c>
      <c r="P33" s="77">
        <v>0</v>
      </c>
      <c r="Q33" s="77">
        <f t="shared" si="57"/>
        <v>0</v>
      </c>
      <c r="R33" s="4">
        <f>+'202501anual'!H3</f>
        <v>0</v>
      </c>
      <c r="S33" s="77">
        <v>0</v>
      </c>
      <c r="T33" s="4">
        <f t="shared" si="42"/>
        <v>0</v>
      </c>
      <c r="U33" s="4">
        <f>+'202501anual'!I3</f>
        <v>0</v>
      </c>
      <c r="V33" s="48"/>
      <c r="W33" s="4">
        <f>+U33-V33</f>
        <v>0</v>
      </c>
      <c r="X33" s="127"/>
      <c r="Y33" s="77"/>
      <c r="Z33" s="4">
        <f t="shared" si="44"/>
        <v>0</v>
      </c>
      <c r="AA33" s="77"/>
      <c r="AB33" s="77"/>
      <c r="AC33" s="82">
        <f t="shared" si="45"/>
        <v>0</v>
      </c>
      <c r="AD33" s="77"/>
      <c r="AE33" s="4"/>
      <c r="AF33" s="4">
        <f t="shared" si="46"/>
        <v>0</v>
      </c>
      <c r="AG33" s="77"/>
      <c r="AH33" s="77"/>
      <c r="AI33" s="4">
        <f t="shared" si="47"/>
        <v>0</v>
      </c>
      <c r="AJ33" s="4"/>
      <c r="AK33" s="4"/>
      <c r="AL33" s="4">
        <f t="shared" si="48"/>
        <v>0</v>
      </c>
      <c r="AM33" s="4">
        <f t="shared" ref="AM33:AM44" si="58">+C33+F33+I33+L33+O33+R33+U33+X33+AA33+AD33+AG33+AJ33</f>
        <v>27000000</v>
      </c>
      <c r="AN33" s="4">
        <f t="shared" si="50"/>
        <v>13658000</v>
      </c>
      <c r="AO33" s="4">
        <f t="shared" si="51"/>
        <v>13342000</v>
      </c>
      <c r="AP33" s="43">
        <f t="shared" si="53"/>
        <v>49.414814814814818</v>
      </c>
      <c r="AQ33" s="34"/>
      <c r="AR33" s="36"/>
      <c r="AS33" s="95"/>
      <c r="AT33" s="100"/>
      <c r="AU33" s="95"/>
      <c r="AV33" s="95"/>
      <c r="AW33" s="2"/>
      <c r="AX33" s="130"/>
      <c r="AY33" s="95"/>
      <c r="AZ33" s="2">
        <f t="shared" si="28"/>
        <v>0</v>
      </c>
      <c r="BA33" s="95"/>
    </row>
    <row r="34" spans="1:53" x14ac:dyDescent="0.25">
      <c r="A34" s="21" t="str">
        <f>+'202501anual'!A104</f>
        <v>Servicios software INTEGRIN</v>
      </c>
      <c r="B34" s="4">
        <f>+[13]EjecucionPptalPasiva!$D$351</f>
        <v>21120000</v>
      </c>
      <c r="C34" s="4">
        <f>+[7]Ppto!$Y$122</f>
        <v>1760000</v>
      </c>
      <c r="D34" s="4">
        <v>0</v>
      </c>
      <c r="E34" s="4">
        <f t="shared" si="38"/>
        <v>1760000</v>
      </c>
      <c r="F34" s="4">
        <f>+'202501anual'!D104</f>
        <v>1760000</v>
      </c>
      <c r="G34" s="4">
        <f>+'202501anual'!Q104</f>
        <v>3728000</v>
      </c>
      <c r="H34" s="4">
        <f t="shared" si="39"/>
        <v>-1968000</v>
      </c>
      <c r="I34" s="4">
        <f>+'202501anual'!E104</f>
        <v>1760000</v>
      </c>
      <c r="J34" s="4">
        <v>1864000</v>
      </c>
      <c r="K34" s="4">
        <f t="shared" si="40"/>
        <v>-104000</v>
      </c>
      <c r="L34" s="4">
        <f>+'202501anual'!F104</f>
        <v>1760000</v>
      </c>
      <c r="M34" s="77">
        <v>0</v>
      </c>
      <c r="N34" s="4">
        <f t="shared" si="56"/>
        <v>1760000</v>
      </c>
      <c r="O34" s="4">
        <f>+'202501anual'!G104</f>
        <v>1760000</v>
      </c>
      <c r="P34" s="77">
        <f>+'202501anual'!T104</f>
        <v>1864000</v>
      </c>
      <c r="Q34" s="77">
        <f t="shared" si="57"/>
        <v>-104000</v>
      </c>
      <c r="R34" s="4">
        <f>+'202501anual'!H104</f>
        <v>1760000</v>
      </c>
      <c r="S34" s="77">
        <v>1864000</v>
      </c>
      <c r="T34" s="4">
        <f t="shared" si="42"/>
        <v>-104000</v>
      </c>
      <c r="U34" s="4">
        <f>+'202501anual'!I104</f>
        <v>1760000</v>
      </c>
      <c r="V34" s="77">
        <f>+'202501anual'!V104</f>
        <v>5479417</v>
      </c>
      <c r="W34" s="4">
        <f>+U34-V34</f>
        <v>-3719417</v>
      </c>
      <c r="X34" s="127"/>
      <c r="Y34" s="77"/>
      <c r="Z34" s="4">
        <f t="shared" si="44"/>
        <v>0</v>
      </c>
      <c r="AA34" s="77"/>
      <c r="AB34" s="77"/>
      <c r="AC34" s="4">
        <f t="shared" si="45"/>
        <v>0</v>
      </c>
      <c r="AD34" s="77"/>
      <c r="AE34" s="4"/>
      <c r="AF34" s="4">
        <f t="shared" si="46"/>
        <v>0</v>
      </c>
      <c r="AG34" s="77"/>
      <c r="AH34" s="77"/>
      <c r="AI34" s="4">
        <f t="shared" si="47"/>
        <v>0</v>
      </c>
      <c r="AJ34" s="4"/>
      <c r="AK34" s="4"/>
      <c r="AL34" s="4">
        <f t="shared" si="48"/>
        <v>0</v>
      </c>
      <c r="AM34" s="4">
        <f t="shared" si="58"/>
        <v>12320000</v>
      </c>
      <c r="AN34" s="4">
        <f t="shared" si="50"/>
        <v>14799417</v>
      </c>
      <c r="AO34" s="4">
        <f t="shared" si="51"/>
        <v>-2479417</v>
      </c>
      <c r="AP34" s="43">
        <f t="shared" si="53"/>
        <v>-20.125137987012987</v>
      </c>
      <c r="AQ34" s="34"/>
      <c r="AR34" s="36"/>
      <c r="AS34" s="95"/>
      <c r="AT34" s="100"/>
      <c r="AU34" s="95"/>
      <c r="AV34" s="95"/>
      <c r="AW34" s="2"/>
      <c r="AX34" s="130"/>
      <c r="AY34" s="95"/>
      <c r="AZ34" s="2">
        <f t="shared" si="28"/>
        <v>0</v>
      </c>
      <c r="BA34" s="95"/>
    </row>
    <row r="35" spans="1:53" x14ac:dyDescent="0.25">
      <c r="A35" s="21" t="str">
        <f>+'202501anual'!A112</f>
        <v>Dotación de papelería y facturación</v>
      </c>
      <c r="B35" s="4">
        <f>+[13]EjecucionPptalPasiva!$D$344+[13]EjecucionPptalPasiva!$D$96</f>
        <v>10600000</v>
      </c>
      <c r="C35" s="4">
        <v>0</v>
      </c>
      <c r="D35" s="4">
        <v>12100</v>
      </c>
      <c r="E35" s="4">
        <f t="shared" si="38"/>
        <v>-12100</v>
      </c>
      <c r="F35" s="4">
        <f>+'202501anual'!D112</f>
        <v>0</v>
      </c>
      <c r="G35" s="4"/>
      <c r="H35" s="4">
        <f t="shared" si="39"/>
        <v>0</v>
      </c>
      <c r="I35" s="4">
        <f>+'202501anual'!E112</f>
        <v>0</v>
      </c>
      <c r="J35" s="4"/>
      <c r="K35" s="4">
        <f t="shared" si="40"/>
        <v>0</v>
      </c>
      <c r="L35" s="4">
        <f>+'202501anual'!F112</f>
        <v>780000</v>
      </c>
      <c r="M35" s="77">
        <v>0</v>
      </c>
      <c r="N35" s="4">
        <f t="shared" si="56"/>
        <v>780000</v>
      </c>
      <c r="O35" s="4">
        <f>+'202501anual'!G112</f>
        <v>780000</v>
      </c>
      <c r="P35" s="77">
        <f>+'202501anual'!T112</f>
        <v>6114200</v>
      </c>
      <c r="Q35" s="77">
        <f t="shared" si="57"/>
        <v>-5334200</v>
      </c>
      <c r="R35" s="4">
        <f>+'202501anual'!H112</f>
        <v>780000</v>
      </c>
      <c r="S35" s="77">
        <v>0</v>
      </c>
      <c r="T35" s="4">
        <f t="shared" si="42"/>
        <v>780000</v>
      </c>
      <c r="U35" s="4">
        <f>+'202501anual'!I112</f>
        <v>3530000</v>
      </c>
      <c r="V35" s="77">
        <f>+'202501anual'!V112</f>
        <v>12900</v>
      </c>
      <c r="W35" s="4">
        <f>+U35-V35</f>
        <v>3517100</v>
      </c>
      <c r="X35" s="127"/>
      <c r="Y35" s="77"/>
      <c r="Z35" s="4">
        <f t="shared" si="44"/>
        <v>0</v>
      </c>
      <c r="AA35" s="77"/>
      <c r="AB35" s="77"/>
      <c r="AC35" s="4">
        <f t="shared" si="45"/>
        <v>0</v>
      </c>
      <c r="AD35" s="77"/>
      <c r="AE35" s="4"/>
      <c r="AF35" s="4">
        <f t="shared" si="46"/>
        <v>0</v>
      </c>
      <c r="AG35" s="77"/>
      <c r="AH35" s="77"/>
      <c r="AI35" s="4">
        <f t="shared" si="47"/>
        <v>0</v>
      </c>
      <c r="AJ35" s="4"/>
      <c r="AK35" s="110"/>
      <c r="AL35" s="4">
        <f t="shared" si="48"/>
        <v>0</v>
      </c>
      <c r="AM35" s="4">
        <f t="shared" si="58"/>
        <v>5870000</v>
      </c>
      <c r="AN35" s="4">
        <f t="shared" si="50"/>
        <v>6139200</v>
      </c>
      <c r="AO35" s="4">
        <f t="shared" si="51"/>
        <v>-269200</v>
      </c>
      <c r="AP35" s="43">
        <f t="shared" si="53"/>
        <v>-4.5860306643952296</v>
      </c>
      <c r="AQ35" s="34"/>
      <c r="AR35" s="49"/>
      <c r="AS35" s="2"/>
      <c r="AU35" s="2"/>
      <c r="AX35" s="130"/>
      <c r="AY35" s="95"/>
      <c r="AZ35" s="2">
        <f t="shared" si="28"/>
        <v>0</v>
      </c>
      <c r="BA35" s="95"/>
    </row>
    <row r="36" spans="1:53" hidden="1" x14ac:dyDescent="0.25">
      <c r="A36" s="21" t="str">
        <f>+'202501anual'!A106</f>
        <v>Pagina WEB-Dominio actualizacion software</v>
      </c>
      <c r="B36" s="4">
        <f>+[13]EjecucionPptalPasiva!$D$350</f>
        <v>600000</v>
      </c>
      <c r="C36" s="4">
        <v>0</v>
      </c>
      <c r="D36" s="4">
        <v>0</v>
      </c>
      <c r="E36" s="4">
        <f t="shared" si="38"/>
        <v>0</v>
      </c>
      <c r="F36" s="4">
        <f>+'202501anual'!D106</f>
        <v>0</v>
      </c>
      <c r="G36" s="4">
        <f>+'202501anual'!Q106</f>
        <v>0</v>
      </c>
      <c r="H36" s="4">
        <f t="shared" si="39"/>
        <v>0</v>
      </c>
      <c r="I36" s="4">
        <f>+'202501anual'!E106</f>
        <v>0</v>
      </c>
      <c r="J36" s="4"/>
      <c r="K36" s="4">
        <f t="shared" si="40"/>
        <v>0</v>
      </c>
      <c r="L36" s="4">
        <f>+'202501anual'!F106</f>
        <v>0</v>
      </c>
      <c r="M36" s="77">
        <v>0</v>
      </c>
      <c r="N36" s="4">
        <f t="shared" si="56"/>
        <v>0</v>
      </c>
      <c r="O36" s="4">
        <f>+'202501anual'!G106</f>
        <v>0</v>
      </c>
      <c r="P36" s="77"/>
      <c r="Q36" s="77">
        <f t="shared" si="57"/>
        <v>0</v>
      </c>
      <c r="R36" s="4">
        <f>+'202501anual'!H106</f>
        <v>600000</v>
      </c>
      <c r="S36" s="77"/>
      <c r="T36" s="4">
        <f t="shared" si="42"/>
        <v>600000</v>
      </c>
      <c r="U36" s="4">
        <f>+'202501anual'!I106</f>
        <v>0</v>
      </c>
      <c r="V36" s="77"/>
      <c r="W36" s="4">
        <f t="shared" ref="W32:W44" si="59">+U36-V36</f>
        <v>0</v>
      </c>
      <c r="X36" s="77"/>
      <c r="Y36" s="77"/>
      <c r="Z36" s="4">
        <f t="shared" si="44"/>
        <v>0</v>
      </c>
      <c r="AA36" s="77"/>
      <c r="AB36" s="77"/>
      <c r="AC36" s="4">
        <f t="shared" si="45"/>
        <v>0</v>
      </c>
      <c r="AD36" s="77"/>
      <c r="AE36" s="4"/>
      <c r="AF36" s="4">
        <f t="shared" si="46"/>
        <v>0</v>
      </c>
      <c r="AG36" s="77"/>
      <c r="AH36" s="77"/>
      <c r="AI36" s="4">
        <f t="shared" si="47"/>
        <v>0</v>
      </c>
      <c r="AJ36" s="4"/>
      <c r="AK36" s="4"/>
      <c r="AL36" s="4">
        <f t="shared" si="48"/>
        <v>0</v>
      </c>
      <c r="AM36" s="4">
        <f t="shared" si="58"/>
        <v>600000</v>
      </c>
      <c r="AN36" s="4">
        <f t="shared" si="50"/>
        <v>0</v>
      </c>
      <c r="AO36" s="4">
        <f t="shared" si="51"/>
        <v>600000</v>
      </c>
      <c r="AP36" s="43">
        <f t="shared" si="53"/>
        <v>100</v>
      </c>
      <c r="AQ36" s="34"/>
      <c r="AR36" s="49"/>
      <c r="AS36" s="2"/>
      <c r="AU36" s="24"/>
      <c r="AX36" s="130"/>
      <c r="AY36" s="95"/>
      <c r="AZ36" s="2">
        <f t="shared" si="28"/>
        <v>0</v>
      </c>
      <c r="BA36" s="95"/>
    </row>
    <row r="37" spans="1:53" x14ac:dyDescent="0.25">
      <c r="A37" s="21" t="s">
        <v>226</v>
      </c>
      <c r="B37" s="4">
        <f>+[13]EjecucionPptalPasiva!$D$355</f>
        <v>24000000</v>
      </c>
      <c r="C37" s="4">
        <f>+[7]Ppto!Y124</f>
        <v>2000000</v>
      </c>
      <c r="D37" s="4">
        <v>0</v>
      </c>
      <c r="E37" s="4">
        <f t="shared" si="38"/>
        <v>2000000</v>
      </c>
      <c r="F37" s="4">
        <f>+'202501anual'!D142</f>
        <v>2000000</v>
      </c>
      <c r="G37" s="4">
        <f>+'202501anual'!Q142</f>
        <v>0</v>
      </c>
      <c r="H37" s="4">
        <f t="shared" si="39"/>
        <v>2000000</v>
      </c>
      <c r="I37" s="4">
        <f>+'[31]202501anual'!E142</f>
        <v>2000000</v>
      </c>
      <c r="J37" s="4">
        <v>0</v>
      </c>
      <c r="K37" s="4">
        <f t="shared" si="40"/>
        <v>2000000</v>
      </c>
      <c r="L37" s="4">
        <f>+'202501anual'!F142</f>
        <v>2000000</v>
      </c>
      <c r="M37" s="77">
        <v>10000000</v>
      </c>
      <c r="N37" s="4">
        <f t="shared" si="56"/>
        <v>-8000000</v>
      </c>
      <c r="O37" s="4">
        <f>+'202501anual'!G142</f>
        <v>2000000</v>
      </c>
      <c r="P37" s="77">
        <v>0</v>
      </c>
      <c r="Q37" s="77">
        <f t="shared" si="57"/>
        <v>2000000</v>
      </c>
      <c r="R37" s="4">
        <f>+'202501anual'!H142</f>
        <v>2000000</v>
      </c>
      <c r="S37" s="77">
        <v>0</v>
      </c>
      <c r="T37" s="4">
        <f t="shared" si="42"/>
        <v>2000000</v>
      </c>
      <c r="U37" s="4">
        <f>+'202501anual'!I142</f>
        <v>2000000</v>
      </c>
      <c r="V37" s="77">
        <v>0</v>
      </c>
      <c r="W37" s="4">
        <f>+U37-V37</f>
        <v>2000000</v>
      </c>
      <c r="X37" s="77"/>
      <c r="Y37" s="77"/>
      <c r="Z37" s="4">
        <f t="shared" si="44"/>
        <v>0</v>
      </c>
      <c r="AA37" s="77"/>
      <c r="AB37" s="77"/>
      <c r="AC37" s="4">
        <f t="shared" si="45"/>
        <v>0</v>
      </c>
      <c r="AD37" s="77"/>
      <c r="AE37" s="4"/>
      <c r="AF37" s="4">
        <f t="shared" si="46"/>
        <v>0</v>
      </c>
      <c r="AG37" s="77"/>
      <c r="AH37" s="77"/>
      <c r="AI37" s="4">
        <f t="shared" si="47"/>
        <v>0</v>
      </c>
      <c r="AJ37" s="4"/>
      <c r="AK37" s="4"/>
      <c r="AL37" s="4">
        <f t="shared" si="48"/>
        <v>0</v>
      </c>
      <c r="AM37" s="4">
        <f t="shared" si="58"/>
        <v>14000000</v>
      </c>
      <c r="AN37" s="4">
        <f t="shared" si="50"/>
        <v>10000000</v>
      </c>
      <c r="AO37" s="4">
        <f t="shared" si="51"/>
        <v>4000000</v>
      </c>
      <c r="AP37" s="43">
        <f t="shared" si="53"/>
        <v>28.571428571428569</v>
      </c>
      <c r="AQ37" s="34"/>
      <c r="AR37" s="49"/>
      <c r="AS37" s="2"/>
      <c r="AX37" s="130"/>
      <c r="AY37" s="95"/>
      <c r="AZ37" s="2">
        <f t="shared" si="28"/>
        <v>0</v>
      </c>
      <c r="BA37" s="95"/>
    </row>
    <row r="38" spans="1:53" hidden="1" x14ac:dyDescent="0.25">
      <c r="A38" s="21" t="s">
        <v>220</v>
      </c>
      <c r="B38" s="4">
        <f>+[13]EjecucionPptalPasiva!$D$354</f>
        <v>16706880</v>
      </c>
      <c r="C38" s="4">
        <v>0</v>
      </c>
      <c r="D38" s="4">
        <v>0</v>
      </c>
      <c r="E38" s="4">
        <f t="shared" si="38"/>
        <v>0</v>
      </c>
      <c r="F38" s="4">
        <v>0</v>
      </c>
      <c r="G38" s="4">
        <v>0</v>
      </c>
      <c r="H38" s="4">
        <f t="shared" si="39"/>
        <v>0</v>
      </c>
      <c r="I38" s="4">
        <v>0</v>
      </c>
      <c r="J38" s="4"/>
      <c r="K38" s="4">
        <f t="shared" si="40"/>
        <v>0</v>
      </c>
      <c r="L38" s="4">
        <v>0</v>
      </c>
      <c r="M38" s="77"/>
      <c r="N38" s="4">
        <f t="shared" si="56"/>
        <v>0</v>
      </c>
      <c r="O38" s="4">
        <v>0</v>
      </c>
      <c r="P38" s="77"/>
      <c r="Q38" s="77">
        <f t="shared" si="57"/>
        <v>0</v>
      </c>
      <c r="R38" s="4">
        <v>0</v>
      </c>
      <c r="S38" s="77"/>
      <c r="T38" s="4">
        <f t="shared" si="42"/>
        <v>0</v>
      </c>
      <c r="U38" s="4">
        <v>0</v>
      </c>
      <c r="V38" s="77"/>
      <c r="W38" s="4">
        <f t="shared" si="59"/>
        <v>0</v>
      </c>
      <c r="X38" s="77"/>
      <c r="Y38" s="77"/>
      <c r="Z38" s="4">
        <f t="shared" si="44"/>
        <v>0</v>
      </c>
      <c r="AA38" s="77"/>
      <c r="AB38" s="77"/>
      <c r="AC38" s="4">
        <f t="shared" si="45"/>
        <v>0</v>
      </c>
      <c r="AD38" s="77"/>
      <c r="AE38" s="4"/>
      <c r="AF38" s="4">
        <f t="shared" si="46"/>
        <v>0</v>
      </c>
      <c r="AG38" s="77"/>
      <c r="AH38" s="77"/>
      <c r="AI38" s="4">
        <f t="shared" si="47"/>
        <v>0</v>
      </c>
      <c r="AJ38" s="4"/>
      <c r="AK38" s="4"/>
      <c r="AL38" s="4">
        <f t="shared" si="48"/>
        <v>0</v>
      </c>
      <c r="AM38" s="4">
        <f t="shared" si="58"/>
        <v>0</v>
      </c>
      <c r="AN38" s="4">
        <f t="shared" si="50"/>
        <v>0</v>
      </c>
      <c r="AO38" s="4">
        <f t="shared" si="51"/>
        <v>0</v>
      </c>
      <c r="AP38" s="43" t="e">
        <f t="shared" si="53"/>
        <v>#DIV/0!</v>
      </c>
      <c r="AQ38" s="34"/>
      <c r="AR38" s="49"/>
      <c r="AS38" s="2"/>
      <c r="AX38" s="130"/>
      <c r="AY38" s="95"/>
      <c r="AZ38" s="2">
        <f t="shared" si="28"/>
        <v>0</v>
      </c>
      <c r="BA38" s="95"/>
    </row>
    <row r="39" spans="1:53" x14ac:dyDescent="0.25">
      <c r="A39" s="21" t="str">
        <f>+'202501anual'!A123</f>
        <v>Plan de medios</v>
      </c>
      <c r="B39" s="4">
        <f>+[13]EjecucionPptalPasiva!$D$342+[13]EjecucionPptalPasiva!$D$349</f>
        <v>31445300</v>
      </c>
      <c r="C39" s="4">
        <f>+[7]Ppto!$Y$17</f>
        <v>1855000</v>
      </c>
      <c r="D39" s="4">
        <v>1837648</v>
      </c>
      <c r="E39" s="4">
        <f t="shared" si="38"/>
        <v>17352</v>
      </c>
      <c r="F39" s="4">
        <f>+'202501anual'!D123</f>
        <v>2417300</v>
      </c>
      <c r="G39" s="4">
        <f>+'202501anual'!Q123</f>
        <v>2417300</v>
      </c>
      <c r="H39" s="4">
        <f t="shared" si="39"/>
        <v>0</v>
      </c>
      <c r="I39" s="4">
        <f>+'202501anual'!E123</f>
        <v>2417300</v>
      </c>
      <c r="J39" s="4">
        <f>+'202501anual'!R123</f>
        <v>2417300</v>
      </c>
      <c r="K39" s="4">
        <f t="shared" si="40"/>
        <v>0</v>
      </c>
      <c r="L39" s="4">
        <f>+'202501anual'!F123</f>
        <v>5417300</v>
      </c>
      <c r="M39" s="77">
        <v>2417300</v>
      </c>
      <c r="N39" s="4">
        <f t="shared" si="56"/>
        <v>3000000</v>
      </c>
      <c r="O39" s="4">
        <f>+'202501anual'!G123</f>
        <v>2417300</v>
      </c>
      <c r="P39" s="77">
        <f>+'202501anual'!T123</f>
        <v>2417300</v>
      </c>
      <c r="Q39" s="77">
        <f t="shared" si="57"/>
        <v>0</v>
      </c>
      <c r="R39" s="4">
        <f>+'202501anual'!H123</f>
        <v>2417300</v>
      </c>
      <c r="S39" s="77">
        <v>0</v>
      </c>
      <c r="T39" s="4">
        <f t="shared" si="42"/>
        <v>2417300</v>
      </c>
      <c r="U39" s="4">
        <f>+'202501anual'!I123</f>
        <v>2417300</v>
      </c>
      <c r="V39" s="77">
        <f>+'202501anual'!V123</f>
        <v>5217300</v>
      </c>
      <c r="W39" s="4">
        <f>+U39-V39</f>
        <v>-2800000</v>
      </c>
      <c r="X39" s="127"/>
      <c r="Y39" s="77"/>
      <c r="Z39" s="4">
        <f t="shared" si="44"/>
        <v>0</v>
      </c>
      <c r="AA39" s="77"/>
      <c r="AB39" s="77"/>
      <c r="AC39" s="4">
        <f t="shared" si="45"/>
        <v>0</v>
      </c>
      <c r="AD39" s="77"/>
      <c r="AE39" s="4"/>
      <c r="AF39" s="4">
        <f t="shared" si="46"/>
        <v>0</v>
      </c>
      <c r="AG39" s="77"/>
      <c r="AH39" s="77"/>
      <c r="AI39" s="4">
        <f t="shared" si="47"/>
        <v>0</v>
      </c>
      <c r="AJ39" s="4"/>
      <c r="AK39" s="4"/>
      <c r="AL39" s="4">
        <f t="shared" si="48"/>
        <v>0</v>
      </c>
      <c r="AM39" s="4">
        <f t="shared" si="58"/>
        <v>19358800</v>
      </c>
      <c r="AN39" s="4">
        <f t="shared" si="50"/>
        <v>16724148</v>
      </c>
      <c r="AO39" s="4">
        <f t="shared" si="51"/>
        <v>2634652</v>
      </c>
      <c r="AP39" s="43">
        <f t="shared" si="53"/>
        <v>13.609583238630494</v>
      </c>
      <c r="AQ39" s="34"/>
      <c r="AR39" s="49"/>
      <c r="AS39" s="2"/>
      <c r="AX39" s="130"/>
      <c r="AY39" s="95"/>
      <c r="AZ39" s="2">
        <f t="shared" si="28"/>
        <v>0</v>
      </c>
      <c r="BA39" s="95"/>
    </row>
    <row r="40" spans="1:53" x14ac:dyDescent="0.25">
      <c r="A40" s="21" t="str">
        <f>+'202501anual'!A133</f>
        <v>Recaudos</v>
      </c>
      <c r="B40" s="4">
        <f>+[13]EjecucionPptalPasiva!$D$353</f>
        <v>55200000</v>
      </c>
      <c r="C40" s="4">
        <f>+[7]Ppto!$Y$123</f>
        <v>4600000</v>
      </c>
      <c r="D40" s="4">
        <v>1100360</v>
      </c>
      <c r="E40" s="4">
        <f t="shared" si="38"/>
        <v>3499640</v>
      </c>
      <c r="F40" s="4">
        <f>+'202501anual'!D133</f>
        <v>4600000</v>
      </c>
      <c r="G40" s="4">
        <f>+'202501anual'!Q133</f>
        <v>1059060</v>
      </c>
      <c r="H40" s="4">
        <f t="shared" si="39"/>
        <v>3540940</v>
      </c>
      <c r="I40" s="4">
        <f>+'202501anual'!E133</f>
        <v>4600000</v>
      </c>
      <c r="J40" s="4">
        <f>+'202501anual'!R133</f>
        <v>1103290</v>
      </c>
      <c r="K40" s="4">
        <f t="shared" si="40"/>
        <v>3496710</v>
      </c>
      <c r="L40" s="4">
        <f>+'202501anual'!F133</f>
        <v>4600000</v>
      </c>
      <c r="M40" s="77">
        <v>1136532</v>
      </c>
      <c r="N40" s="4">
        <f t="shared" si="56"/>
        <v>3463468</v>
      </c>
      <c r="O40" s="4">
        <f>+'202501anual'!G133</f>
        <v>4600000</v>
      </c>
      <c r="P40" s="77">
        <f>+'202501anual'!T133</f>
        <v>1231937</v>
      </c>
      <c r="Q40" s="77">
        <f t="shared" si="57"/>
        <v>3368063</v>
      </c>
      <c r="R40" s="4">
        <f>+'202501anual'!H133</f>
        <v>4600000</v>
      </c>
      <c r="S40" s="77">
        <v>10400</v>
      </c>
      <c r="T40" s="4">
        <f t="shared" si="42"/>
        <v>4589600</v>
      </c>
      <c r="U40" s="4">
        <f>+'202501anual'!I133</f>
        <v>4600000</v>
      </c>
      <c r="V40" s="77">
        <f>+'202501anual'!V133</f>
        <v>2528458</v>
      </c>
      <c r="W40" s="4">
        <f>+U40-V40</f>
        <v>2071542</v>
      </c>
      <c r="X40" s="127"/>
      <c r="Y40" s="77"/>
      <c r="Z40" s="4">
        <f t="shared" si="44"/>
        <v>0</v>
      </c>
      <c r="AA40" s="77"/>
      <c r="AB40" s="77"/>
      <c r="AC40" s="4">
        <f t="shared" si="45"/>
        <v>0</v>
      </c>
      <c r="AD40" s="77"/>
      <c r="AE40" s="4"/>
      <c r="AF40" s="4">
        <f t="shared" si="46"/>
        <v>0</v>
      </c>
      <c r="AG40" s="77"/>
      <c r="AH40" s="77"/>
      <c r="AI40" s="4">
        <f t="shared" si="47"/>
        <v>0</v>
      </c>
      <c r="AJ40" s="4"/>
      <c r="AK40" s="4"/>
      <c r="AL40" s="4">
        <f t="shared" si="48"/>
        <v>0</v>
      </c>
      <c r="AM40" s="4">
        <f t="shared" si="58"/>
        <v>32200000</v>
      </c>
      <c r="AN40" s="4">
        <f t="shared" si="50"/>
        <v>8170037</v>
      </c>
      <c r="AO40" s="4">
        <f t="shared" si="51"/>
        <v>24029963</v>
      </c>
      <c r="AP40" s="43">
        <f t="shared" si="53"/>
        <v>74.627214285714288</v>
      </c>
      <c r="AQ40" s="34"/>
      <c r="AR40" s="49"/>
      <c r="AS40" s="2"/>
      <c r="AX40" s="130"/>
      <c r="AY40" s="95"/>
      <c r="AZ40" s="2">
        <f t="shared" si="28"/>
        <v>0</v>
      </c>
      <c r="BA40" s="95"/>
    </row>
    <row r="41" spans="1:53" x14ac:dyDescent="0.25">
      <c r="A41" s="21" t="str">
        <f>+'202501anual'!A139</f>
        <v xml:space="preserve">Alquiler de mulas y vehículos de transporte </v>
      </c>
      <c r="B41" s="4">
        <f>+[13]EjecucionPptalPasiva!$D$108</f>
        <v>8000000</v>
      </c>
      <c r="C41" s="4">
        <v>0</v>
      </c>
      <c r="D41" s="4"/>
      <c r="E41" s="4">
        <f t="shared" si="38"/>
        <v>0</v>
      </c>
      <c r="F41" s="4">
        <f>+'202501anual'!D139</f>
        <v>0</v>
      </c>
      <c r="G41" s="4"/>
      <c r="H41" s="4">
        <f t="shared" si="39"/>
        <v>0</v>
      </c>
      <c r="I41" s="4">
        <f>+'202501anual'!E139</f>
        <v>800000</v>
      </c>
      <c r="J41" s="4">
        <v>0</v>
      </c>
      <c r="K41" s="4">
        <f t="shared" si="40"/>
        <v>800000</v>
      </c>
      <c r="L41" s="4">
        <f>+'202501anual'!F139</f>
        <v>800000</v>
      </c>
      <c r="M41" s="77">
        <v>0</v>
      </c>
      <c r="N41" s="4">
        <f t="shared" si="56"/>
        <v>800000</v>
      </c>
      <c r="O41" s="4">
        <f>+'202501anual'!G139</f>
        <v>800000</v>
      </c>
      <c r="P41" s="77">
        <f>+'202501anual'!T139</f>
        <v>3200000</v>
      </c>
      <c r="Q41" s="77">
        <f t="shared" si="57"/>
        <v>-2400000</v>
      </c>
      <c r="R41" s="4">
        <f>+'202501anual'!H139</f>
        <v>800000</v>
      </c>
      <c r="S41" s="77">
        <v>0</v>
      </c>
      <c r="T41" s="4">
        <f t="shared" si="42"/>
        <v>800000</v>
      </c>
      <c r="U41" s="4">
        <f>+'202501anual'!I139</f>
        <v>800000</v>
      </c>
      <c r="V41" s="77">
        <f>+'202501anual'!V139</f>
        <v>0</v>
      </c>
      <c r="W41" s="4">
        <f>+U41-V41</f>
        <v>800000</v>
      </c>
      <c r="X41" s="127"/>
      <c r="Y41" s="77"/>
      <c r="Z41" s="4">
        <f t="shared" si="44"/>
        <v>0</v>
      </c>
      <c r="AA41" s="77"/>
      <c r="AB41" s="77"/>
      <c r="AC41" s="4">
        <f t="shared" si="45"/>
        <v>0</v>
      </c>
      <c r="AD41" s="77"/>
      <c r="AE41" s="4"/>
      <c r="AF41" s="4">
        <f t="shared" si="46"/>
        <v>0</v>
      </c>
      <c r="AG41" s="77"/>
      <c r="AH41" s="77"/>
      <c r="AI41" s="4">
        <f t="shared" si="47"/>
        <v>0</v>
      </c>
      <c r="AJ41" s="4"/>
      <c r="AK41" s="4"/>
      <c r="AL41" s="4">
        <f t="shared" si="48"/>
        <v>0</v>
      </c>
      <c r="AM41" s="4">
        <f t="shared" si="58"/>
        <v>4000000</v>
      </c>
      <c r="AN41" s="4">
        <f t="shared" si="50"/>
        <v>3200000</v>
      </c>
      <c r="AO41" s="4">
        <f t="shared" si="51"/>
        <v>800000</v>
      </c>
      <c r="AP41" s="43">
        <f t="shared" si="53"/>
        <v>20</v>
      </c>
      <c r="AQ41" s="34"/>
      <c r="AR41" s="49"/>
      <c r="AS41" s="2"/>
      <c r="AX41" s="130"/>
      <c r="AY41" s="2"/>
      <c r="AZ41" s="2">
        <f t="shared" si="28"/>
        <v>0</v>
      </c>
      <c r="BA41" s="2"/>
    </row>
    <row r="42" spans="1:53" hidden="1" x14ac:dyDescent="0.25">
      <c r="A42" s="21" t="str">
        <f>+'202501anual'!A151</f>
        <v>Asesoria y argue sui</v>
      </c>
      <c r="B42" s="4">
        <v>0</v>
      </c>
      <c r="C42" s="4">
        <v>0</v>
      </c>
      <c r="D42" s="4"/>
      <c r="E42" s="4">
        <f t="shared" si="38"/>
        <v>0</v>
      </c>
      <c r="F42" s="4"/>
      <c r="G42" s="4"/>
      <c r="H42" s="4">
        <f t="shared" si="39"/>
        <v>0</v>
      </c>
      <c r="I42" s="4"/>
      <c r="J42" s="4"/>
      <c r="K42" s="4">
        <f t="shared" si="40"/>
        <v>0</v>
      </c>
      <c r="L42" s="4"/>
      <c r="M42" s="77"/>
      <c r="N42" s="4">
        <f t="shared" si="56"/>
        <v>0</v>
      </c>
      <c r="O42" s="4"/>
      <c r="P42" s="77"/>
      <c r="Q42" s="77">
        <f t="shared" si="57"/>
        <v>0</v>
      </c>
      <c r="R42" s="4"/>
      <c r="S42" s="77"/>
      <c r="T42" s="4">
        <f t="shared" si="42"/>
        <v>0</v>
      </c>
      <c r="U42" s="4"/>
      <c r="V42" s="77"/>
      <c r="W42" s="4">
        <f t="shared" si="59"/>
        <v>0</v>
      </c>
      <c r="X42" s="127"/>
      <c r="Y42" s="77"/>
      <c r="Z42" s="4">
        <f t="shared" si="44"/>
        <v>0</v>
      </c>
      <c r="AA42" s="77"/>
      <c r="AB42" s="77"/>
      <c r="AC42" s="4">
        <f t="shared" si="45"/>
        <v>0</v>
      </c>
      <c r="AD42" s="77"/>
      <c r="AE42" s="4"/>
      <c r="AF42" s="4">
        <f t="shared" si="46"/>
        <v>0</v>
      </c>
      <c r="AG42" s="77"/>
      <c r="AH42" s="77"/>
      <c r="AI42" s="4">
        <f t="shared" si="47"/>
        <v>0</v>
      </c>
      <c r="AJ42" s="4"/>
      <c r="AK42" s="4"/>
      <c r="AL42" s="4">
        <f t="shared" si="48"/>
        <v>0</v>
      </c>
      <c r="AM42" s="4">
        <f t="shared" si="58"/>
        <v>0</v>
      </c>
      <c r="AN42" s="4">
        <f t="shared" si="50"/>
        <v>0</v>
      </c>
      <c r="AO42" s="4">
        <f t="shared" si="51"/>
        <v>0</v>
      </c>
      <c r="AP42" s="43" t="e">
        <f t="shared" si="53"/>
        <v>#DIV/0!</v>
      </c>
      <c r="AQ42" s="34"/>
      <c r="AR42" s="49"/>
      <c r="AS42" s="2"/>
      <c r="AX42" s="130"/>
      <c r="AY42" s="2"/>
      <c r="AZ42" s="2">
        <f t="shared" si="28"/>
        <v>0</v>
      </c>
    </row>
    <row r="43" spans="1:53" x14ac:dyDescent="0.25">
      <c r="A43" s="21" t="str">
        <f>+'202501anual'!A137</f>
        <v>Transporte Agua potable</v>
      </c>
      <c r="B43" s="4">
        <f>+[13]EjecucionPptalPasiva!$D$348</f>
        <v>18000000</v>
      </c>
      <c r="C43" s="4">
        <v>0</v>
      </c>
      <c r="D43" s="4">
        <v>0</v>
      </c>
      <c r="E43" s="4">
        <f t="shared" si="38"/>
        <v>0</v>
      </c>
      <c r="F43" s="4">
        <f>+'202501anual'!D137</f>
        <v>2000000</v>
      </c>
      <c r="G43" s="4">
        <f>+'202501anual'!Q137</f>
        <v>0</v>
      </c>
      <c r="H43" s="4">
        <f t="shared" si="39"/>
        <v>2000000</v>
      </c>
      <c r="I43" s="4">
        <f>+'202501anual'!E137</f>
        <v>2000000</v>
      </c>
      <c r="J43" s="4">
        <v>0</v>
      </c>
      <c r="K43" s="4">
        <f t="shared" si="40"/>
        <v>2000000</v>
      </c>
      <c r="L43" s="4">
        <f>+'202501anual'!F137</f>
        <v>2000000</v>
      </c>
      <c r="M43" s="77">
        <v>0</v>
      </c>
      <c r="N43" s="4">
        <f t="shared" si="56"/>
        <v>2000000</v>
      </c>
      <c r="O43" s="4">
        <f>+'202501anual'!G137</f>
        <v>2000000</v>
      </c>
      <c r="P43" s="77">
        <v>0</v>
      </c>
      <c r="Q43" s="77">
        <f t="shared" si="57"/>
        <v>2000000</v>
      </c>
      <c r="R43" s="4">
        <f>+'202501anual'!H137</f>
        <v>2000000</v>
      </c>
      <c r="S43" s="77">
        <v>0</v>
      </c>
      <c r="T43" s="4">
        <f t="shared" si="42"/>
        <v>2000000</v>
      </c>
      <c r="U43" s="4">
        <f>+'202501anual'!I137</f>
        <v>2000000</v>
      </c>
      <c r="V43" s="77">
        <v>0</v>
      </c>
      <c r="W43" s="4">
        <f>+U43-V43</f>
        <v>2000000</v>
      </c>
      <c r="X43" s="127"/>
      <c r="Y43" s="77"/>
      <c r="Z43" s="4">
        <f t="shared" si="44"/>
        <v>0</v>
      </c>
      <c r="AA43" s="77"/>
      <c r="AB43" s="77"/>
      <c r="AC43" s="4">
        <f t="shared" si="45"/>
        <v>0</v>
      </c>
      <c r="AD43" s="77"/>
      <c r="AE43" s="4"/>
      <c r="AF43" s="4">
        <f t="shared" si="46"/>
        <v>0</v>
      </c>
      <c r="AG43" s="77"/>
      <c r="AH43" s="77"/>
      <c r="AI43" s="4">
        <f t="shared" si="47"/>
        <v>0</v>
      </c>
      <c r="AJ43" s="4"/>
      <c r="AK43" s="4"/>
      <c r="AL43" s="4">
        <f t="shared" si="48"/>
        <v>0</v>
      </c>
      <c r="AM43" s="4">
        <f t="shared" si="58"/>
        <v>12000000</v>
      </c>
      <c r="AN43" s="4">
        <f t="shared" si="50"/>
        <v>0</v>
      </c>
      <c r="AO43" s="4">
        <f t="shared" si="51"/>
        <v>12000000</v>
      </c>
      <c r="AP43" s="43">
        <f t="shared" si="53"/>
        <v>100</v>
      </c>
      <c r="AQ43" s="34"/>
      <c r="AR43" s="49"/>
      <c r="AS43" s="95"/>
      <c r="AX43" s="130"/>
      <c r="AY43" s="2"/>
      <c r="AZ43" s="2">
        <f t="shared" si="28"/>
        <v>0</v>
      </c>
      <c r="BA43" s="2"/>
    </row>
    <row r="44" spans="1:53" hidden="1" x14ac:dyDescent="0.25">
      <c r="A44" s="21" t="str">
        <f>+'202501anual'!A154</f>
        <v>Camp-de sensi-y concient PUEAA (inc-materiales)</v>
      </c>
      <c r="B44" s="4">
        <f>+[13]EjecucionPptalPasiva!$D$352</f>
        <v>8000000</v>
      </c>
      <c r="C44" s="4">
        <f>+'202501anual'!C154</f>
        <v>0</v>
      </c>
      <c r="D44" s="4"/>
      <c r="E44" s="4">
        <f t="shared" si="38"/>
        <v>0</v>
      </c>
      <c r="F44" s="4"/>
      <c r="G44" s="4"/>
      <c r="H44" s="4">
        <f t="shared" si="39"/>
        <v>0</v>
      </c>
      <c r="I44" s="4"/>
      <c r="J44" s="4">
        <v>0</v>
      </c>
      <c r="K44" s="4">
        <f t="shared" si="40"/>
        <v>0</v>
      </c>
      <c r="L44" s="4"/>
      <c r="M44" s="77"/>
      <c r="N44" s="4">
        <f t="shared" si="56"/>
        <v>0</v>
      </c>
      <c r="O44" s="4"/>
      <c r="P44" s="77"/>
      <c r="Q44" s="77">
        <f t="shared" si="57"/>
        <v>0</v>
      </c>
      <c r="R44" s="77"/>
      <c r="S44" s="4"/>
      <c r="T44" s="4">
        <f t="shared" si="42"/>
        <v>0</v>
      </c>
      <c r="U44" s="77"/>
      <c r="V44" s="4"/>
      <c r="W44" s="4">
        <f t="shared" si="59"/>
        <v>0</v>
      </c>
      <c r="X44" s="4"/>
      <c r="Y44" s="77"/>
      <c r="Z44" s="4">
        <f t="shared" si="44"/>
        <v>0</v>
      </c>
      <c r="AA44" s="77"/>
      <c r="AB44" s="77"/>
      <c r="AC44" s="4">
        <f t="shared" si="45"/>
        <v>0</v>
      </c>
      <c r="AD44" s="77"/>
      <c r="AE44" s="4"/>
      <c r="AF44" s="4">
        <f t="shared" si="46"/>
        <v>0</v>
      </c>
      <c r="AG44" s="77"/>
      <c r="AH44" s="77"/>
      <c r="AI44" s="4">
        <f t="shared" si="47"/>
        <v>0</v>
      </c>
      <c r="AJ44" s="77"/>
      <c r="AK44" s="4"/>
      <c r="AL44" s="4">
        <f t="shared" si="48"/>
        <v>0</v>
      </c>
      <c r="AM44" s="4">
        <f t="shared" si="58"/>
        <v>0</v>
      </c>
      <c r="AN44" s="4">
        <f t="shared" si="50"/>
        <v>0</v>
      </c>
      <c r="AO44" s="4">
        <f t="shared" si="51"/>
        <v>0</v>
      </c>
      <c r="AP44" s="43" t="e">
        <f t="shared" si="53"/>
        <v>#DIV/0!</v>
      </c>
      <c r="AQ44" s="34"/>
      <c r="AR44" s="49"/>
      <c r="AS44" s="95"/>
      <c r="AX44" s="130"/>
      <c r="AY44" s="2"/>
      <c r="AZ44" s="2">
        <f t="shared" si="28"/>
        <v>0</v>
      </c>
    </row>
    <row r="45" spans="1:53" x14ac:dyDescent="0.25">
      <c r="A45" s="12" t="s">
        <v>164</v>
      </c>
      <c r="B45" s="8">
        <f>SUM(B32:B44)</f>
        <v>479092074</v>
      </c>
      <c r="C45" s="8">
        <f>SUM(C32:C44)</f>
        <v>24450150</v>
      </c>
      <c r="D45" s="8">
        <f t="shared" ref="D45:U45" si="60">SUM(D32:D44)</f>
        <v>21135102.46816</v>
      </c>
      <c r="E45" s="8">
        <f t="shared" si="60"/>
        <v>3315047.5318400003</v>
      </c>
      <c r="F45" s="8">
        <f t="shared" si="60"/>
        <v>60885003.884853005</v>
      </c>
      <c r="G45" s="8">
        <f t="shared" si="60"/>
        <v>48591583.530000001</v>
      </c>
      <c r="H45" s="8">
        <f t="shared" si="60"/>
        <v>12293420.354853004</v>
      </c>
      <c r="I45" s="8">
        <f t="shared" ref="I45" si="61">SUM(I32:I44)</f>
        <v>34685003.884853005</v>
      </c>
      <c r="J45" s="8">
        <f t="shared" si="60"/>
        <v>25630671.0394</v>
      </c>
      <c r="K45" s="8">
        <f t="shared" si="60"/>
        <v>9054332.8454530053</v>
      </c>
      <c r="L45" s="8">
        <f>SUM(L32:L44)</f>
        <v>38465003.884853005</v>
      </c>
      <c r="M45" s="8">
        <f t="shared" si="60"/>
        <v>31868249</v>
      </c>
      <c r="N45" s="8">
        <f>SUM(N32:N44)</f>
        <v>6596754.8848530054</v>
      </c>
      <c r="O45" s="8">
        <f>SUM(O32:O44)</f>
        <v>35465003.884853005</v>
      </c>
      <c r="P45" s="8">
        <f t="shared" si="60"/>
        <v>33105139</v>
      </c>
      <c r="Q45" s="8">
        <f t="shared" si="60"/>
        <v>2359864.8848530054</v>
      </c>
      <c r="R45" s="8">
        <f t="shared" si="60"/>
        <v>36065003.884853005</v>
      </c>
      <c r="S45" s="8">
        <f t="shared" si="60"/>
        <v>22063200.323030833</v>
      </c>
      <c r="T45" s="8">
        <f t="shared" si="60"/>
        <v>14001803.561822172</v>
      </c>
      <c r="U45" s="8">
        <f t="shared" si="60"/>
        <v>38215003.884853005</v>
      </c>
      <c r="V45" s="8">
        <f t="shared" ref="V45:AL45" si="62">SUM(V32:V44)</f>
        <v>33246775</v>
      </c>
      <c r="W45" s="8">
        <f>SUM(W32:W44)</f>
        <v>4968228.8848530054</v>
      </c>
      <c r="X45" s="8">
        <f>SUM(X32:X44)</f>
        <v>0</v>
      </c>
      <c r="Y45" s="8">
        <f t="shared" si="62"/>
        <v>0</v>
      </c>
      <c r="Z45" s="8">
        <f t="shared" si="62"/>
        <v>0</v>
      </c>
      <c r="AA45" s="8">
        <f t="shared" si="62"/>
        <v>0</v>
      </c>
      <c r="AB45" s="8">
        <f t="shared" si="62"/>
        <v>0</v>
      </c>
      <c r="AC45" s="8">
        <f t="shared" si="62"/>
        <v>0</v>
      </c>
      <c r="AD45" s="8">
        <f t="shared" si="62"/>
        <v>0</v>
      </c>
      <c r="AE45" s="8">
        <f t="shared" si="62"/>
        <v>0</v>
      </c>
      <c r="AF45" s="8">
        <f t="shared" si="62"/>
        <v>0</v>
      </c>
      <c r="AG45" s="8">
        <f t="shared" si="62"/>
        <v>0</v>
      </c>
      <c r="AH45" s="8">
        <f t="shared" si="62"/>
        <v>0</v>
      </c>
      <c r="AI45" s="8">
        <f t="shared" si="62"/>
        <v>0</v>
      </c>
      <c r="AJ45" s="8">
        <f t="shared" ref="AJ45" si="63">SUM(AJ32:AJ44)</f>
        <v>0</v>
      </c>
      <c r="AK45" s="8">
        <f t="shared" si="62"/>
        <v>0</v>
      </c>
      <c r="AL45" s="8">
        <f t="shared" si="62"/>
        <v>0</v>
      </c>
      <c r="AM45" s="8">
        <f>SUM(AM32:AM44)</f>
        <v>268230173.30911803</v>
      </c>
      <c r="AN45" s="8">
        <f>SUM(AN32:AN44)</f>
        <v>215640720.36059082</v>
      </c>
      <c r="AO45" s="8">
        <f>SUM(AO32:AO44)</f>
        <v>52589452.948527217</v>
      </c>
      <c r="AP45" s="31">
        <f>+AO45/AM45</f>
        <v>0.19606091402670517</v>
      </c>
      <c r="AQ45" s="34"/>
      <c r="AR45" s="50">
        <f>W45/U45*100</f>
        <v>13.000728456872473</v>
      </c>
      <c r="AS45" s="2"/>
      <c r="AY45" s="2"/>
      <c r="AZ45" s="2">
        <f t="shared" si="28"/>
        <v>0</v>
      </c>
    </row>
    <row r="46" spans="1:53" x14ac:dyDescent="0.25">
      <c r="A46" s="21" t="s">
        <v>54</v>
      </c>
      <c r="B46" s="4">
        <f>+[13]EjecucionPptalPasiva!$D$13</f>
        <v>417017933</v>
      </c>
      <c r="C46" s="4">
        <f>+B46/12</f>
        <v>34751494.416666664</v>
      </c>
      <c r="D46" s="4">
        <f>+[24]Resultados!$C$119-18184994</f>
        <v>25528935.009999998</v>
      </c>
      <c r="E46" s="4">
        <f t="shared" si="38"/>
        <v>9222559.4066666663</v>
      </c>
      <c r="F46" s="4">
        <f>+'202501anual'!D101</f>
        <v>34751494.4218596</v>
      </c>
      <c r="G46" s="4">
        <v>23206981.469999999</v>
      </c>
      <c r="H46" s="4">
        <f t="shared" si="39"/>
        <v>11544512.951859601</v>
      </c>
      <c r="I46" s="4">
        <f>+'202501anual'!E101</f>
        <v>34751494.4218596</v>
      </c>
      <c r="J46" s="4">
        <v>33033079.590599995</v>
      </c>
      <c r="K46" s="4">
        <f t="shared" ref="K46:K87" si="64">+I46-J46</f>
        <v>1718414.8312596045</v>
      </c>
      <c r="L46" s="4">
        <f>+'202501anual'!F101</f>
        <v>34751494.4218596</v>
      </c>
      <c r="M46" s="77">
        <f>48195834-18314417</f>
        <v>29881417</v>
      </c>
      <c r="N46" s="4">
        <f t="shared" ref="N46:N87" si="65">+L46-M46</f>
        <v>4870077.4218595996</v>
      </c>
      <c r="O46" s="4">
        <f>+'202501anual'!G101</f>
        <v>34751494.4218596</v>
      </c>
      <c r="P46" s="4">
        <v>29543119</v>
      </c>
      <c r="Q46" s="4">
        <f t="shared" ref="Q46:Q87" si="66">+O46-P46</f>
        <v>5208375.4218595996</v>
      </c>
      <c r="R46" s="4">
        <f>+'202501anual'!H101</f>
        <v>34751494.4218596</v>
      </c>
      <c r="S46" s="4">
        <v>28369990.6769692</v>
      </c>
      <c r="T46" s="4">
        <f>+R46-S46</f>
        <v>6381503.7448903993</v>
      </c>
      <c r="U46" s="4">
        <f>+'202501anual'!I101</f>
        <v>34751494.4218596</v>
      </c>
      <c r="V46" s="4">
        <v>27382615</v>
      </c>
      <c r="W46" s="4">
        <f>+U46-V46</f>
        <v>7368879.4218595996</v>
      </c>
      <c r="X46" s="127"/>
      <c r="Y46" s="4"/>
      <c r="Z46" s="4"/>
      <c r="AA46" s="4"/>
      <c r="AB46" s="4"/>
      <c r="AC46" s="4">
        <f t="shared" ref="AC46:AC87" si="67">+AA46-AB46</f>
        <v>0</v>
      </c>
      <c r="AD46" s="4"/>
      <c r="AE46" s="4"/>
      <c r="AF46" s="4">
        <f t="shared" si="46"/>
        <v>0</v>
      </c>
      <c r="AG46" s="4"/>
      <c r="AH46" s="4"/>
      <c r="AI46" s="4">
        <f t="shared" si="47"/>
        <v>0</v>
      </c>
      <c r="AJ46" s="4"/>
      <c r="AK46" s="4"/>
      <c r="AL46" s="4">
        <f t="shared" si="48"/>
        <v>0</v>
      </c>
      <c r="AM46" s="4">
        <f t="shared" ref="AM46:AM79" si="68">+C46+F46+I46+L46+O46+R46+U46+X46+AA46+AD46+AG46+AJ46</f>
        <v>243260460.94782424</v>
      </c>
      <c r="AN46" s="4">
        <f t="shared" ref="AN46:AN79" si="69">+D46+G46+J46+M46+P46+S46+V46+Y46+AB46+AE46+AH46+AK46</f>
        <v>196946137.74756917</v>
      </c>
      <c r="AO46" s="4">
        <f t="shared" ref="AO46:AO79" si="70">+AM46-AN46</f>
        <v>46314323.200255066</v>
      </c>
      <c r="AP46" s="43">
        <f t="shared" ref="AP46:AP85" si="71">+AO46/AM46*100</f>
        <v>19.038985217654751</v>
      </c>
      <c r="AQ46" s="34"/>
      <c r="AR46" s="38"/>
      <c r="AS46" s="2"/>
      <c r="AU46" s="2"/>
      <c r="AY46" s="2"/>
      <c r="AZ46" s="2">
        <f t="shared" si="28"/>
        <v>0</v>
      </c>
    </row>
    <row r="47" spans="1:53" x14ac:dyDescent="0.25">
      <c r="A47" s="5" t="s">
        <v>193</v>
      </c>
      <c r="B47" s="4">
        <f>+[13]EjecucionPptalPasiva!$D$103</f>
        <v>4200000</v>
      </c>
      <c r="C47" s="4">
        <f>+[7]Ppto!$Y$92-19999.99</f>
        <v>330000.01</v>
      </c>
      <c r="D47" s="4">
        <v>3817349</v>
      </c>
      <c r="E47" s="4">
        <f t="shared" si="38"/>
        <v>-3487348.99</v>
      </c>
      <c r="F47" s="4">
        <f>+'202501anual'!D105</f>
        <v>350000</v>
      </c>
      <c r="G47" s="4">
        <f>+'202501anual'!Q105</f>
        <v>0</v>
      </c>
      <c r="H47" s="4">
        <f t="shared" si="39"/>
        <v>350000</v>
      </c>
      <c r="I47" s="4">
        <f>+'202501anual'!E105</f>
        <v>350000</v>
      </c>
      <c r="J47" s="4">
        <v>0</v>
      </c>
      <c r="K47" s="4">
        <f t="shared" si="64"/>
        <v>350000</v>
      </c>
      <c r="L47" s="4">
        <f>+'202501anual'!F105</f>
        <v>350000</v>
      </c>
      <c r="M47" s="77"/>
      <c r="N47" s="4">
        <f t="shared" si="65"/>
        <v>350000</v>
      </c>
      <c r="O47" s="4">
        <f>+'202501anual'!G105</f>
        <v>350000</v>
      </c>
      <c r="P47" s="4">
        <f>+'202501anual'!T106</f>
        <v>227980</v>
      </c>
      <c r="Q47" s="4">
        <f t="shared" si="66"/>
        <v>122020</v>
      </c>
      <c r="R47" s="4">
        <f>+'202501anual'!H105</f>
        <v>350000</v>
      </c>
      <c r="S47" s="4">
        <v>0</v>
      </c>
      <c r="T47" s="4">
        <f>+R47-S47</f>
        <v>350000</v>
      </c>
      <c r="U47" s="4">
        <f>+'202501anual'!I105</f>
        <v>350000</v>
      </c>
      <c r="V47" s="4">
        <f>+'202501anual'!V106</f>
        <v>0</v>
      </c>
      <c r="W47" s="4">
        <f>+U47-V47</f>
        <v>350000</v>
      </c>
      <c r="X47" s="127"/>
      <c r="Y47" s="4"/>
      <c r="Z47" s="4"/>
      <c r="AA47" s="77"/>
      <c r="AB47" s="4"/>
      <c r="AC47" s="4">
        <f t="shared" si="67"/>
        <v>0</v>
      </c>
      <c r="AD47" s="77"/>
      <c r="AE47" s="4"/>
      <c r="AF47" s="4">
        <f t="shared" si="46"/>
        <v>0</v>
      </c>
      <c r="AG47" s="77"/>
      <c r="AH47" s="4"/>
      <c r="AI47" s="4">
        <f t="shared" si="47"/>
        <v>0</v>
      </c>
      <c r="AJ47" s="77"/>
      <c r="AK47" s="77"/>
      <c r="AL47" s="4">
        <f t="shared" si="48"/>
        <v>0</v>
      </c>
      <c r="AM47" s="4">
        <f t="shared" si="68"/>
        <v>2430000.0099999998</v>
      </c>
      <c r="AN47" s="4">
        <f t="shared" si="69"/>
        <v>4045329</v>
      </c>
      <c r="AO47" s="4">
        <f t="shared" si="70"/>
        <v>-1615328.9900000002</v>
      </c>
      <c r="AP47" s="43">
        <f t="shared" si="71"/>
        <v>-66.474443759364448</v>
      </c>
      <c r="AQ47" s="34"/>
      <c r="AR47" s="38"/>
      <c r="AS47" s="2"/>
      <c r="AU47" s="2"/>
      <c r="AY47" s="2"/>
      <c r="AZ47" s="2">
        <f t="shared" si="28"/>
        <v>0</v>
      </c>
    </row>
    <row r="48" spans="1:53" x14ac:dyDescent="0.25">
      <c r="A48" s="5" t="s">
        <v>19</v>
      </c>
      <c r="B48" s="4">
        <f>+[13]EjecucionPptalPasiva!$D$111</f>
        <v>121293120</v>
      </c>
      <c r="C48" s="4">
        <f>+[7]Ppto!$Y$86</f>
        <v>11500000</v>
      </c>
      <c r="D48" s="4">
        <v>0</v>
      </c>
      <c r="E48" s="4">
        <f t="shared" ref="E48" si="72">+C48-D48</f>
        <v>11500000</v>
      </c>
      <c r="F48" s="4">
        <f>+'202501anual'!D107</f>
        <v>11500000</v>
      </c>
      <c r="G48" s="4">
        <f>+'202501anual'!Q107</f>
        <v>22995296</v>
      </c>
      <c r="H48" s="4">
        <f t="shared" si="39"/>
        <v>-11495296</v>
      </c>
      <c r="I48" s="4">
        <f>+'202501anual'!E107</f>
        <v>11500000</v>
      </c>
      <c r="J48" s="4">
        <v>0</v>
      </c>
      <c r="K48" s="4">
        <f t="shared" si="64"/>
        <v>11500000</v>
      </c>
      <c r="L48" s="4">
        <f>+'202501anual'!F107</f>
        <v>11500000</v>
      </c>
      <c r="M48" s="77">
        <v>22995296</v>
      </c>
      <c r="N48" s="4">
        <f t="shared" si="65"/>
        <v>-11495296</v>
      </c>
      <c r="O48" s="4">
        <f>+'202501anual'!G107</f>
        <v>11500000</v>
      </c>
      <c r="P48" s="4">
        <v>0</v>
      </c>
      <c r="Q48" s="4">
        <f t="shared" si="66"/>
        <v>11500000</v>
      </c>
      <c r="R48" s="4">
        <f>+'202501anual'!H107</f>
        <v>11500000</v>
      </c>
      <c r="S48" s="4">
        <v>0</v>
      </c>
      <c r="T48" s="4">
        <f t="shared" ref="T48:T78" si="73">+R48-S48</f>
        <v>11500000</v>
      </c>
      <c r="U48" s="4">
        <f>+'202501anual'!I107</f>
        <v>11500000</v>
      </c>
      <c r="V48" s="4">
        <f>+'202501anual'!V107</f>
        <v>22995296</v>
      </c>
      <c r="W48" s="4">
        <f>+U48-V48</f>
        <v>-11495296</v>
      </c>
      <c r="X48" s="127"/>
      <c r="Y48" s="4"/>
      <c r="Z48" s="4"/>
      <c r="AA48" s="4"/>
      <c r="AB48" s="4"/>
      <c r="AC48" s="4">
        <f t="shared" si="67"/>
        <v>0</v>
      </c>
      <c r="AD48" s="4"/>
      <c r="AE48" s="4"/>
      <c r="AF48" s="4">
        <f t="shared" si="46"/>
        <v>0</v>
      </c>
      <c r="AG48" s="4"/>
      <c r="AH48" s="4"/>
      <c r="AI48" s="4">
        <f t="shared" si="47"/>
        <v>0</v>
      </c>
      <c r="AJ48" s="4"/>
      <c r="AK48" s="4"/>
      <c r="AL48" s="4">
        <f t="shared" si="48"/>
        <v>0</v>
      </c>
      <c r="AM48" s="4">
        <f t="shared" si="68"/>
        <v>80500000</v>
      </c>
      <c r="AN48" s="4">
        <f t="shared" si="69"/>
        <v>68985888</v>
      </c>
      <c r="AO48" s="4">
        <f t="shared" si="70"/>
        <v>11514112</v>
      </c>
      <c r="AP48" s="43">
        <f t="shared" si="71"/>
        <v>14.303244720496894</v>
      </c>
      <c r="AQ48" s="34"/>
      <c r="AR48" s="36"/>
      <c r="AS48" s="2"/>
      <c r="AY48" s="2"/>
      <c r="AZ48" s="2">
        <f t="shared" si="28"/>
        <v>0</v>
      </c>
    </row>
    <row r="49" spans="1:52" x14ac:dyDescent="0.25">
      <c r="A49" s="70" t="s">
        <v>89</v>
      </c>
      <c r="B49" s="4">
        <f>+[13]EjecucionPptalPasiva!$D$78</f>
        <v>43800000</v>
      </c>
      <c r="C49" s="4">
        <v>0</v>
      </c>
      <c r="D49" s="4">
        <v>0</v>
      </c>
      <c r="E49" s="4">
        <f t="shared" si="38"/>
        <v>0</v>
      </c>
      <c r="F49" s="4"/>
      <c r="G49" s="4"/>
      <c r="H49" s="4">
        <f t="shared" si="39"/>
        <v>0</v>
      </c>
      <c r="I49" s="4">
        <f>+'202501anual'!E149</f>
        <v>2400000</v>
      </c>
      <c r="J49" s="4">
        <v>0</v>
      </c>
      <c r="K49" s="4">
        <f t="shared" si="64"/>
        <v>2400000</v>
      </c>
      <c r="L49" s="4">
        <f>+'202501anual'!F149</f>
        <v>0</v>
      </c>
      <c r="M49" s="77"/>
      <c r="N49" s="4">
        <f t="shared" si="65"/>
        <v>0</v>
      </c>
      <c r="O49" s="4">
        <f>+'202501anual'!G149+'202501anual'!G116+'202501anual'!G108</f>
        <v>8500000</v>
      </c>
      <c r="P49" s="4">
        <v>0</v>
      </c>
      <c r="Q49" s="4">
        <f t="shared" si="66"/>
        <v>8500000</v>
      </c>
      <c r="R49" s="4">
        <f>+'202501anual'!H149+'202501anual'!H116+'202501anual'!H108</f>
        <v>6500000</v>
      </c>
      <c r="S49" s="4">
        <v>0</v>
      </c>
      <c r="T49" s="4">
        <f t="shared" si="73"/>
        <v>6500000</v>
      </c>
      <c r="U49" s="4">
        <f>+'202501anual'!I149+'202501anual'!I116+'202501anual'!I108</f>
        <v>5500000</v>
      </c>
      <c r="V49" s="4">
        <v>0</v>
      </c>
      <c r="W49" s="4">
        <f>+U49-V49</f>
        <v>5500000</v>
      </c>
      <c r="X49" s="127"/>
      <c r="Y49" s="4"/>
      <c r="Z49" s="4"/>
      <c r="AA49" s="4"/>
      <c r="AB49" s="4"/>
      <c r="AC49" s="4">
        <f t="shared" si="67"/>
        <v>0</v>
      </c>
      <c r="AD49" s="4"/>
      <c r="AE49" s="4"/>
      <c r="AF49" s="4">
        <f t="shared" si="46"/>
        <v>0</v>
      </c>
      <c r="AG49" s="4"/>
      <c r="AH49" s="4"/>
      <c r="AI49" s="4">
        <f t="shared" si="47"/>
        <v>0</v>
      </c>
      <c r="AJ49" s="4"/>
      <c r="AK49" s="4"/>
      <c r="AL49" s="4">
        <f t="shared" si="48"/>
        <v>0</v>
      </c>
      <c r="AM49" s="4">
        <f t="shared" si="68"/>
        <v>22900000</v>
      </c>
      <c r="AN49" s="4">
        <f t="shared" si="69"/>
        <v>0</v>
      </c>
      <c r="AO49" s="4">
        <f t="shared" si="70"/>
        <v>22900000</v>
      </c>
      <c r="AP49" s="43">
        <f t="shared" si="71"/>
        <v>100</v>
      </c>
      <c r="AQ49" s="34"/>
      <c r="AR49" s="38"/>
      <c r="AS49" s="2"/>
      <c r="AY49" s="2"/>
      <c r="AZ49" s="2">
        <f t="shared" si="28"/>
        <v>0</v>
      </c>
    </row>
    <row r="50" spans="1:52" x14ac:dyDescent="0.25">
      <c r="A50" s="21" t="s">
        <v>72</v>
      </c>
      <c r="B50" s="4">
        <f>+[13]EjecucionPptalPasiva!$D$105+[13]EjecucionPptalPasiva!$D$106+[13]EjecucionPptalPasiva!$D$107</f>
        <v>45091200</v>
      </c>
      <c r="C50" s="4">
        <f>+[7]Ppto!$Y$110+[7]Ppto!$Y$111+[7]Ppto!$Y$112+[7]Ppto!$Y$113+[7]Ppto!$Y$114</f>
        <v>4730000</v>
      </c>
      <c r="D50" s="4">
        <v>871959</v>
      </c>
      <c r="E50" s="4">
        <f t="shared" si="38"/>
        <v>3858041</v>
      </c>
      <c r="F50" s="4">
        <f>+'202501anual'!D109</f>
        <v>4730000</v>
      </c>
      <c r="G50" s="4">
        <f>+'202501anual'!Q109</f>
        <v>2338446</v>
      </c>
      <c r="H50" s="4">
        <f t="shared" si="39"/>
        <v>2391554</v>
      </c>
      <c r="I50" s="4">
        <f>+'202501anual'!E109</f>
        <v>4730000</v>
      </c>
      <c r="J50" s="4">
        <f>+[28]EjecucionPptalPasiva!$Q$75</f>
        <v>4029807</v>
      </c>
      <c r="K50" s="4">
        <f t="shared" si="64"/>
        <v>700193</v>
      </c>
      <c r="L50" s="4">
        <f>+'202501anual'!F109</f>
        <v>4730000</v>
      </c>
      <c r="M50" s="77">
        <v>4707736</v>
      </c>
      <c r="N50" s="4">
        <f t="shared" si="65"/>
        <v>22264</v>
      </c>
      <c r="O50" s="4">
        <f>+'202501anual'!G109</f>
        <v>4730000</v>
      </c>
      <c r="P50" s="4">
        <f>+'202501anual'!T109</f>
        <v>3837351</v>
      </c>
      <c r="Q50" s="4">
        <f t="shared" si="66"/>
        <v>892649</v>
      </c>
      <c r="R50" s="4">
        <f>+'202501anual'!H109</f>
        <v>4730000</v>
      </c>
      <c r="S50" s="4">
        <v>4811742</v>
      </c>
      <c r="T50" s="4">
        <f t="shared" si="73"/>
        <v>-81742</v>
      </c>
      <c r="U50" s="4">
        <f>+'202501anual'!I109</f>
        <v>4730000</v>
      </c>
      <c r="V50" s="4">
        <f>+'202501anual'!V109</f>
        <v>5549850</v>
      </c>
      <c r="W50" s="4">
        <f>+U50-V50</f>
        <v>-819850</v>
      </c>
      <c r="X50" s="127"/>
      <c r="Y50" s="4"/>
      <c r="Z50" s="4"/>
      <c r="AA50" s="4"/>
      <c r="AB50" s="4"/>
      <c r="AC50" s="4">
        <f t="shared" si="67"/>
        <v>0</v>
      </c>
      <c r="AD50" s="4"/>
      <c r="AE50" s="4"/>
      <c r="AF50" s="4">
        <f t="shared" si="46"/>
        <v>0</v>
      </c>
      <c r="AG50" s="4"/>
      <c r="AH50" s="4"/>
      <c r="AI50" s="4">
        <f t="shared" si="47"/>
        <v>0</v>
      </c>
      <c r="AJ50" s="4"/>
      <c r="AK50" s="4"/>
      <c r="AL50" s="4">
        <f t="shared" si="48"/>
        <v>0</v>
      </c>
      <c r="AM50" s="4">
        <f t="shared" si="68"/>
        <v>33110000</v>
      </c>
      <c r="AN50" s="4">
        <f t="shared" si="69"/>
        <v>26146891</v>
      </c>
      <c r="AO50" s="4">
        <f t="shared" si="70"/>
        <v>6963109</v>
      </c>
      <c r="AP50" s="43">
        <f t="shared" si="71"/>
        <v>21.030229537903956</v>
      </c>
      <c r="AQ50" s="34"/>
      <c r="AR50" s="38"/>
      <c r="AS50" s="2"/>
      <c r="AY50" s="2"/>
      <c r="AZ50" s="2">
        <f t="shared" si="28"/>
        <v>0</v>
      </c>
    </row>
    <row r="51" spans="1:52" ht="36.75" x14ac:dyDescent="0.25">
      <c r="A51" s="105" t="s">
        <v>65</v>
      </c>
      <c r="B51" s="4">
        <f>+[13]EjecucionPptalPasiva!$D$343+[13]EjecucionPptalPasiva!$D$95</f>
        <v>5000000</v>
      </c>
      <c r="C51" s="4">
        <v>0</v>
      </c>
      <c r="D51" s="4">
        <v>0</v>
      </c>
      <c r="E51" s="4">
        <f t="shared" si="38"/>
        <v>0</v>
      </c>
      <c r="F51" s="4"/>
      <c r="G51" s="4"/>
      <c r="H51" s="4">
        <f t="shared" si="39"/>
        <v>0</v>
      </c>
      <c r="I51" s="4"/>
      <c r="J51" s="4">
        <v>0</v>
      </c>
      <c r="K51" s="4">
        <f t="shared" si="64"/>
        <v>0</v>
      </c>
      <c r="L51" s="4">
        <v>50000000</v>
      </c>
      <c r="M51" s="77">
        <v>0</v>
      </c>
      <c r="N51" s="4">
        <f t="shared" si="65"/>
        <v>50000000</v>
      </c>
      <c r="O51" s="4">
        <v>0</v>
      </c>
      <c r="P51" s="4">
        <v>0</v>
      </c>
      <c r="Q51" s="4">
        <f t="shared" si="66"/>
        <v>0</v>
      </c>
      <c r="R51" s="4">
        <v>0</v>
      </c>
      <c r="S51" s="4">
        <v>0</v>
      </c>
      <c r="T51" s="4">
        <f t="shared" si="73"/>
        <v>0</v>
      </c>
      <c r="U51" s="4">
        <v>0</v>
      </c>
      <c r="V51" s="4">
        <v>0</v>
      </c>
      <c r="W51" s="4">
        <f>+U51-V51</f>
        <v>0</v>
      </c>
      <c r="X51" s="127"/>
      <c r="Y51" s="4"/>
      <c r="Z51" s="4"/>
      <c r="AA51" s="4"/>
      <c r="AB51" s="4"/>
      <c r="AC51" s="4">
        <f t="shared" si="67"/>
        <v>0</v>
      </c>
      <c r="AD51" s="4"/>
      <c r="AE51" s="4"/>
      <c r="AF51" s="4">
        <f t="shared" si="46"/>
        <v>0</v>
      </c>
      <c r="AG51" s="4"/>
      <c r="AH51" s="4"/>
      <c r="AI51" s="4">
        <f t="shared" si="47"/>
        <v>0</v>
      </c>
      <c r="AJ51" s="4"/>
      <c r="AK51" s="4"/>
      <c r="AL51" s="4">
        <f t="shared" si="48"/>
        <v>0</v>
      </c>
      <c r="AM51" s="4">
        <f t="shared" si="68"/>
        <v>50000000</v>
      </c>
      <c r="AN51" s="4">
        <f t="shared" si="69"/>
        <v>0</v>
      </c>
      <c r="AO51" s="4">
        <f t="shared" si="70"/>
        <v>50000000</v>
      </c>
      <c r="AP51" s="43">
        <f t="shared" si="71"/>
        <v>100</v>
      </c>
      <c r="AQ51" s="34"/>
      <c r="AR51" s="38"/>
      <c r="AS51" s="95"/>
      <c r="AY51" s="2"/>
      <c r="AZ51" s="2">
        <f t="shared" si="28"/>
        <v>0</v>
      </c>
    </row>
    <row r="52" spans="1:52" x14ac:dyDescent="0.25">
      <c r="A52" s="21" t="s">
        <v>162</v>
      </c>
      <c r="B52" s="4">
        <f>+[13]EjecucionPptalPasiva!$D$94</f>
        <v>7326000</v>
      </c>
      <c r="C52" s="4">
        <v>0</v>
      </c>
      <c r="D52" s="4">
        <v>0</v>
      </c>
      <c r="E52" s="4">
        <f t="shared" si="38"/>
        <v>0</v>
      </c>
      <c r="F52" s="4">
        <f>+'202501anual'!D113</f>
        <v>0</v>
      </c>
      <c r="G52" s="4">
        <f>+'202501anual'!Q113</f>
        <v>0</v>
      </c>
      <c r="H52" s="4">
        <f t="shared" si="39"/>
        <v>0</v>
      </c>
      <c r="I52" s="4">
        <f>+'202501anual'!E113</f>
        <v>780000</v>
      </c>
      <c r="J52" s="4">
        <v>0</v>
      </c>
      <c r="K52" s="4">
        <f t="shared" si="64"/>
        <v>780000</v>
      </c>
      <c r="L52" s="4">
        <f>+'202501anual'!F113</f>
        <v>1994000</v>
      </c>
      <c r="M52" s="77">
        <v>0</v>
      </c>
      <c r="N52" s="4">
        <f t="shared" si="65"/>
        <v>1994000</v>
      </c>
      <c r="O52" s="4">
        <f>+'202501anual'!G113</f>
        <v>1994000</v>
      </c>
      <c r="P52" s="4">
        <v>0</v>
      </c>
      <c r="Q52" s="4">
        <f t="shared" si="66"/>
        <v>1994000</v>
      </c>
      <c r="R52" s="4">
        <f>+'202501anual'!H113</f>
        <v>1994000</v>
      </c>
      <c r="S52" s="4">
        <v>0</v>
      </c>
      <c r="T52" s="4">
        <f t="shared" si="73"/>
        <v>1994000</v>
      </c>
      <c r="U52" s="4">
        <f>+'202501anual'!I113</f>
        <v>1994000</v>
      </c>
      <c r="V52" s="4">
        <v>0</v>
      </c>
      <c r="W52" s="4">
        <f>+U52-V52</f>
        <v>1994000</v>
      </c>
      <c r="X52" s="127"/>
      <c r="Y52" s="4"/>
      <c r="Z52" s="4"/>
      <c r="AA52" s="77"/>
      <c r="AB52" s="4"/>
      <c r="AC52" s="4">
        <f t="shared" si="67"/>
        <v>0</v>
      </c>
      <c r="AD52" s="77"/>
      <c r="AE52" s="4"/>
      <c r="AF52" s="4">
        <f t="shared" si="46"/>
        <v>0</v>
      </c>
      <c r="AG52" s="77"/>
      <c r="AH52" s="4"/>
      <c r="AI52" s="4">
        <f t="shared" si="47"/>
        <v>0</v>
      </c>
      <c r="AJ52" s="77"/>
      <c r="AK52" s="77"/>
      <c r="AL52" s="4">
        <f t="shared" si="48"/>
        <v>0</v>
      </c>
      <c r="AM52" s="4">
        <f t="shared" si="68"/>
        <v>8756000</v>
      </c>
      <c r="AN52" s="4">
        <f t="shared" si="69"/>
        <v>0</v>
      </c>
      <c r="AO52" s="4">
        <f t="shared" si="70"/>
        <v>8756000</v>
      </c>
      <c r="AP52" s="43">
        <f t="shared" si="71"/>
        <v>100</v>
      </c>
      <c r="AQ52" s="34"/>
      <c r="AR52" s="38"/>
      <c r="AS52" s="2"/>
      <c r="AY52" s="2"/>
      <c r="AZ52" s="2">
        <f t="shared" si="28"/>
        <v>0</v>
      </c>
    </row>
    <row r="53" spans="1:52" x14ac:dyDescent="0.25">
      <c r="A53" s="21" t="s">
        <v>85</v>
      </c>
      <c r="B53" s="4">
        <f>+[13]EjecucionPptalPasiva!$D$109</f>
        <v>9600000</v>
      </c>
      <c r="C53" s="4">
        <f>+[7]Ppto!$Y$131</f>
        <v>800000</v>
      </c>
      <c r="D53" s="4">
        <v>1219643</v>
      </c>
      <c r="E53" s="4">
        <f t="shared" si="38"/>
        <v>-419643</v>
      </c>
      <c r="F53" s="4">
        <f>+'202501anual'!D114</f>
        <v>800000</v>
      </c>
      <c r="G53" s="4">
        <f>+'202501anual'!Q114</f>
        <v>1195304.02</v>
      </c>
      <c r="H53" s="4">
        <f t="shared" si="39"/>
        <v>-395304.02</v>
      </c>
      <c r="I53" s="4">
        <f>+'202501anual'!E114</f>
        <v>800000</v>
      </c>
      <c r="J53" s="4">
        <f>+[28]EjecucionPptalPasiva!$Q$69</f>
        <v>1087307</v>
      </c>
      <c r="K53" s="4">
        <f t="shared" si="64"/>
        <v>-287307</v>
      </c>
      <c r="L53" s="4">
        <f>+'202501anual'!F114</f>
        <v>800000</v>
      </c>
      <c r="M53" s="77">
        <v>890053</v>
      </c>
      <c r="N53" s="4">
        <f t="shared" si="65"/>
        <v>-90053</v>
      </c>
      <c r="O53" s="4">
        <f>+'202501anual'!G114</f>
        <v>800000</v>
      </c>
      <c r="P53" s="4">
        <f>+'202501anual'!T114</f>
        <v>1127344</v>
      </c>
      <c r="Q53" s="4">
        <f t="shared" si="66"/>
        <v>-327344</v>
      </c>
      <c r="R53" s="4">
        <f>+'202501anual'!H114</f>
        <v>800000</v>
      </c>
      <c r="S53" s="4">
        <v>1465236</v>
      </c>
      <c r="T53" s="4">
        <f t="shared" si="73"/>
        <v>-665236</v>
      </c>
      <c r="U53" s="4">
        <f>+'202501anual'!I114</f>
        <v>800000</v>
      </c>
      <c r="V53" s="4">
        <f>+'202501anual'!V114</f>
        <v>994714</v>
      </c>
      <c r="W53" s="4">
        <f>+U53-V53</f>
        <v>-194714</v>
      </c>
      <c r="X53" s="127"/>
      <c r="Y53" s="4"/>
      <c r="Z53" s="4"/>
      <c r="AA53" s="4"/>
      <c r="AB53" s="4"/>
      <c r="AC53" s="4">
        <f t="shared" si="67"/>
        <v>0</v>
      </c>
      <c r="AD53" s="4"/>
      <c r="AE53" s="4"/>
      <c r="AF53" s="4">
        <f t="shared" si="46"/>
        <v>0</v>
      </c>
      <c r="AG53" s="4"/>
      <c r="AH53" s="4"/>
      <c r="AI53" s="4">
        <f t="shared" si="47"/>
        <v>0</v>
      </c>
      <c r="AJ53" s="4"/>
      <c r="AK53" s="4"/>
      <c r="AL53" s="4">
        <f t="shared" si="48"/>
        <v>0</v>
      </c>
      <c r="AM53" s="4">
        <f t="shared" si="68"/>
        <v>5600000</v>
      </c>
      <c r="AN53" s="4">
        <f t="shared" si="69"/>
        <v>7979601.0199999996</v>
      </c>
      <c r="AO53" s="4">
        <f t="shared" si="70"/>
        <v>-2379601.0199999996</v>
      </c>
      <c r="AP53" s="43">
        <f t="shared" si="71"/>
        <v>-42.49287535714285</v>
      </c>
      <c r="AQ53" s="34"/>
      <c r="AR53" s="36"/>
      <c r="AS53" s="2"/>
      <c r="AY53" s="2"/>
      <c r="AZ53" s="2">
        <f t="shared" si="28"/>
        <v>0</v>
      </c>
    </row>
    <row r="54" spans="1:52" x14ac:dyDescent="0.25">
      <c r="A54" s="21" t="s">
        <v>23</v>
      </c>
      <c r="B54" s="4">
        <f>+[13]EjecucionPptalPasiva!$D$119</f>
        <v>25400000</v>
      </c>
      <c r="C54" s="4">
        <v>0</v>
      </c>
      <c r="D54" s="4">
        <v>0</v>
      </c>
      <c r="E54" s="4">
        <f t="shared" si="38"/>
        <v>0</v>
      </c>
      <c r="F54" s="4">
        <f>+'202501anual'!D115</f>
        <v>25000000</v>
      </c>
      <c r="G54" s="4">
        <f>+'202501anual'!Q115</f>
        <v>0</v>
      </c>
      <c r="H54" s="4">
        <f t="shared" si="39"/>
        <v>25000000</v>
      </c>
      <c r="I54" s="4">
        <f>+'202501anual'!E115</f>
        <v>12000000</v>
      </c>
      <c r="J54" s="4"/>
      <c r="K54" s="4">
        <f t="shared" si="64"/>
        <v>12000000</v>
      </c>
      <c r="L54" s="4">
        <v>0</v>
      </c>
      <c r="M54" s="77">
        <v>0</v>
      </c>
      <c r="N54" s="4">
        <f t="shared" si="65"/>
        <v>0</v>
      </c>
      <c r="O54" s="4">
        <f>+'202501anual'!G115</f>
        <v>10000000</v>
      </c>
      <c r="P54" s="4">
        <v>0</v>
      </c>
      <c r="Q54" s="4">
        <f t="shared" si="66"/>
        <v>10000000</v>
      </c>
      <c r="R54" s="4">
        <f>+'202501anual'!H115</f>
        <v>10000000</v>
      </c>
      <c r="S54" s="4">
        <v>19230655</v>
      </c>
      <c r="T54" s="4">
        <f t="shared" si="73"/>
        <v>-9230655</v>
      </c>
      <c r="U54" s="4">
        <f>+'202501anual'!I115</f>
        <v>10000000</v>
      </c>
      <c r="V54" s="4">
        <f>+'202501anual'!V115</f>
        <v>32919750</v>
      </c>
      <c r="W54" s="4">
        <f>+U54-V54</f>
        <v>-22919750</v>
      </c>
      <c r="X54" s="127"/>
      <c r="Y54" s="4"/>
      <c r="Z54" s="4"/>
      <c r="AA54" s="4"/>
      <c r="AB54" s="4"/>
      <c r="AC54" s="4">
        <f t="shared" si="67"/>
        <v>0</v>
      </c>
      <c r="AD54" s="4"/>
      <c r="AE54" s="4"/>
      <c r="AF54" s="4">
        <f t="shared" si="46"/>
        <v>0</v>
      </c>
      <c r="AG54" s="4"/>
      <c r="AH54" s="4"/>
      <c r="AI54" s="4">
        <f t="shared" si="47"/>
        <v>0</v>
      </c>
      <c r="AJ54" s="4"/>
      <c r="AK54" s="4"/>
      <c r="AL54" s="4">
        <f t="shared" si="48"/>
        <v>0</v>
      </c>
      <c r="AM54" s="4">
        <f t="shared" si="68"/>
        <v>67000000</v>
      </c>
      <c r="AN54" s="4">
        <f t="shared" si="69"/>
        <v>52150405</v>
      </c>
      <c r="AO54" s="4">
        <f t="shared" si="70"/>
        <v>14849595</v>
      </c>
      <c r="AP54" s="43">
        <f t="shared" si="71"/>
        <v>22.163574626865671</v>
      </c>
      <c r="AQ54" s="34"/>
      <c r="AR54" s="36"/>
      <c r="AS54" s="95"/>
      <c r="AY54" s="2"/>
      <c r="AZ54" s="2">
        <f t="shared" si="28"/>
        <v>0</v>
      </c>
    </row>
    <row r="55" spans="1:52" ht="24.75" hidden="1" x14ac:dyDescent="0.25">
      <c r="A55" s="71" t="s">
        <v>161</v>
      </c>
      <c r="B55" s="4">
        <v>0</v>
      </c>
      <c r="C55" s="4">
        <v>0</v>
      </c>
      <c r="D55" s="4">
        <v>0</v>
      </c>
      <c r="E55" s="4">
        <f t="shared" si="38"/>
        <v>0</v>
      </c>
      <c r="F55" s="4"/>
      <c r="G55" s="4"/>
      <c r="H55" s="4">
        <f t="shared" si="39"/>
        <v>0</v>
      </c>
      <c r="I55" s="4"/>
      <c r="J55" s="4">
        <v>0</v>
      </c>
      <c r="K55" s="4">
        <f t="shared" si="64"/>
        <v>0</v>
      </c>
      <c r="L55" s="4"/>
      <c r="M55" s="77"/>
      <c r="N55" s="4">
        <f t="shared" si="65"/>
        <v>0</v>
      </c>
      <c r="O55" s="4"/>
      <c r="P55" s="4"/>
      <c r="Q55" s="4">
        <f t="shared" si="66"/>
        <v>0</v>
      </c>
      <c r="R55" s="4"/>
      <c r="S55" s="4"/>
      <c r="T55" s="4">
        <f t="shared" si="73"/>
        <v>0</v>
      </c>
      <c r="U55" s="4"/>
      <c r="V55" s="4"/>
      <c r="W55" s="4">
        <f t="shared" ref="W46:W87" si="74">+U55-V55</f>
        <v>0</v>
      </c>
      <c r="X55" s="77"/>
      <c r="Y55" s="4"/>
      <c r="Z55" s="4"/>
      <c r="AA55" s="4"/>
      <c r="AB55" s="4"/>
      <c r="AC55" s="4">
        <f t="shared" si="67"/>
        <v>0</v>
      </c>
      <c r="AD55" s="4"/>
      <c r="AE55" s="4"/>
      <c r="AF55" s="4">
        <f t="shared" si="46"/>
        <v>0</v>
      </c>
      <c r="AG55" s="4"/>
      <c r="AH55" s="4"/>
      <c r="AI55" s="4">
        <f t="shared" si="47"/>
        <v>0</v>
      </c>
      <c r="AJ55" s="4"/>
      <c r="AK55" s="4"/>
      <c r="AL55" s="4">
        <f t="shared" si="48"/>
        <v>0</v>
      </c>
      <c r="AM55" s="4">
        <f t="shared" si="68"/>
        <v>0</v>
      </c>
      <c r="AN55" s="4">
        <f t="shared" si="69"/>
        <v>0</v>
      </c>
      <c r="AO55" s="4">
        <f t="shared" si="70"/>
        <v>0</v>
      </c>
      <c r="AP55" s="43" t="e">
        <f t="shared" si="71"/>
        <v>#DIV/0!</v>
      </c>
      <c r="AQ55" s="34"/>
      <c r="AR55" s="38"/>
      <c r="AS55" s="2"/>
      <c r="AY55" s="2"/>
      <c r="AZ55" s="2">
        <f t="shared" si="28"/>
        <v>0</v>
      </c>
    </row>
    <row r="56" spans="1:52" x14ac:dyDescent="0.25">
      <c r="A56" s="21" t="s">
        <v>37</v>
      </c>
      <c r="B56" s="4">
        <f>+[13]EjecucionPptalPasiva!$D$116</f>
        <v>98054800</v>
      </c>
      <c r="C56" s="4">
        <f>+[7]Ppto!$Y$12+[7]Ppto!$Y$13</f>
        <v>5710000</v>
      </c>
      <c r="D56" s="4">
        <v>3747627</v>
      </c>
      <c r="E56" s="4">
        <f t="shared" si="38"/>
        <v>1962373</v>
      </c>
      <c r="F56" s="4">
        <f>+'202501anual'!D117</f>
        <v>7930400</v>
      </c>
      <c r="G56" s="4">
        <f>+'202501anual'!Q117</f>
        <v>9622400</v>
      </c>
      <c r="H56" s="4">
        <f t="shared" si="39"/>
        <v>-1692000</v>
      </c>
      <c r="I56" s="4">
        <f>+'202501anual'!E117</f>
        <v>7930400</v>
      </c>
      <c r="J56" s="4">
        <f>+[28]EjecucionPptalPasiva!$Q$76</f>
        <v>7930400</v>
      </c>
      <c r="K56" s="4">
        <f t="shared" si="64"/>
        <v>0</v>
      </c>
      <c r="L56" s="4">
        <f>+'202501anual'!F117</f>
        <v>7930400</v>
      </c>
      <c r="M56" s="77">
        <v>7930400</v>
      </c>
      <c r="N56" s="4">
        <f t="shared" si="65"/>
        <v>0</v>
      </c>
      <c r="O56" s="4">
        <f>+'202501anual'!G117</f>
        <v>13040800</v>
      </c>
      <c r="P56" s="4">
        <f>+'202501anual'!T117</f>
        <v>7930400</v>
      </c>
      <c r="Q56" s="4">
        <f t="shared" si="66"/>
        <v>5110400</v>
      </c>
      <c r="R56" s="4">
        <f>+'202501anual'!H117</f>
        <v>7930400</v>
      </c>
      <c r="S56" s="4">
        <v>7930400</v>
      </c>
      <c r="T56" s="4">
        <f t="shared" si="73"/>
        <v>0</v>
      </c>
      <c r="U56" s="4">
        <f>+'202501anual'!I117</f>
        <v>7930400</v>
      </c>
      <c r="V56" s="4">
        <f>+'202501anual'!V117</f>
        <v>7930400</v>
      </c>
      <c r="W56" s="4">
        <f>+U56-V56</f>
        <v>0</v>
      </c>
      <c r="X56" s="127"/>
      <c r="Y56" s="4"/>
      <c r="Z56" s="4"/>
      <c r="AA56" s="4"/>
      <c r="AB56" s="4"/>
      <c r="AC56" s="4">
        <f t="shared" si="67"/>
        <v>0</v>
      </c>
      <c r="AD56" s="4"/>
      <c r="AE56" s="4"/>
      <c r="AF56" s="4">
        <f t="shared" si="46"/>
        <v>0</v>
      </c>
      <c r="AG56" s="4"/>
      <c r="AH56" s="4"/>
      <c r="AI56" s="4">
        <f t="shared" si="47"/>
        <v>0</v>
      </c>
      <c r="AJ56" s="4"/>
      <c r="AK56" s="4"/>
      <c r="AL56" s="4">
        <f t="shared" si="48"/>
        <v>0</v>
      </c>
      <c r="AM56" s="4">
        <f t="shared" si="68"/>
        <v>58402800</v>
      </c>
      <c r="AN56" s="4">
        <f t="shared" si="69"/>
        <v>53022027</v>
      </c>
      <c r="AO56" s="4">
        <f t="shared" si="70"/>
        <v>5380773</v>
      </c>
      <c r="AP56" s="43">
        <f t="shared" si="71"/>
        <v>9.2132106679816719</v>
      </c>
      <c r="AQ56" s="34"/>
      <c r="AR56" s="38"/>
      <c r="AS56" s="2"/>
      <c r="AY56" s="2"/>
      <c r="AZ56" s="2">
        <f t="shared" si="28"/>
        <v>0</v>
      </c>
    </row>
    <row r="57" spans="1:52" x14ac:dyDescent="0.25">
      <c r="A57" s="21" t="s">
        <v>231</v>
      </c>
      <c r="B57" s="4">
        <f>+[13]EjecucionPptalPasiva!$D$93+[13]EjecucionPptalPasiva!$D$121+[13]EjecucionPptalPasiva!$D$124</f>
        <v>98995000</v>
      </c>
      <c r="C57" s="4">
        <f>+[7]Ppto!$Y$15+[7]Ppto!$Y$81</f>
        <v>4759000</v>
      </c>
      <c r="D57" s="4">
        <v>2485200</v>
      </c>
      <c r="E57" s="4">
        <f t="shared" si="38"/>
        <v>2273800</v>
      </c>
      <c r="F57" s="4">
        <f>+'202501anual'!D119</f>
        <v>4142000</v>
      </c>
      <c r="G57" s="4">
        <f>+'202501anual'!Q119</f>
        <v>4142000</v>
      </c>
      <c r="H57" s="4">
        <f t="shared" si="39"/>
        <v>0</v>
      </c>
      <c r="I57" s="4">
        <f>+'202501anual'!E119</f>
        <v>4142000</v>
      </c>
      <c r="J57" s="4">
        <v>4142000</v>
      </c>
      <c r="K57" s="4">
        <f t="shared" si="64"/>
        <v>0</v>
      </c>
      <c r="L57" s="4">
        <f>+'202501anual'!F119</f>
        <v>4542000</v>
      </c>
      <c r="M57" s="77">
        <f>4800000+4142000</f>
        <v>8942000</v>
      </c>
      <c r="N57" s="4">
        <f t="shared" si="65"/>
        <v>-4400000</v>
      </c>
      <c r="O57" s="4">
        <f>+'202501anual'!G119</f>
        <v>4142000</v>
      </c>
      <c r="P57" s="4">
        <f>+'202501anual'!T119</f>
        <v>5335100</v>
      </c>
      <c r="Q57" s="4">
        <f t="shared" si="66"/>
        <v>-1193100</v>
      </c>
      <c r="R57" s="4">
        <f>+'202501anual'!H119</f>
        <v>4142000</v>
      </c>
      <c r="S57" s="4">
        <v>4142000</v>
      </c>
      <c r="T57" s="4">
        <f t="shared" si="73"/>
        <v>0</v>
      </c>
      <c r="U57" s="4">
        <f>+'202501anual'!I119</f>
        <v>6142000</v>
      </c>
      <c r="V57" s="4">
        <f>+'202501anual'!V119</f>
        <v>4817200</v>
      </c>
      <c r="W57" s="4">
        <f>+U57-V57</f>
        <v>1324800</v>
      </c>
      <c r="X57" s="127"/>
      <c r="Y57" s="4"/>
      <c r="Z57" s="4"/>
      <c r="AA57" s="4"/>
      <c r="AB57" s="4"/>
      <c r="AC57" s="4">
        <f t="shared" si="67"/>
        <v>0</v>
      </c>
      <c r="AD57" s="4"/>
      <c r="AE57" s="4"/>
      <c r="AF57" s="4">
        <f t="shared" si="46"/>
        <v>0</v>
      </c>
      <c r="AG57" s="4"/>
      <c r="AH57" s="4"/>
      <c r="AI57" s="4">
        <f t="shared" si="47"/>
        <v>0</v>
      </c>
      <c r="AJ57" s="4"/>
      <c r="AK57" s="4"/>
      <c r="AL57" s="4">
        <f t="shared" si="48"/>
        <v>0</v>
      </c>
      <c r="AM57" s="4">
        <f t="shared" si="68"/>
        <v>32011000</v>
      </c>
      <c r="AN57" s="4">
        <f t="shared" si="69"/>
        <v>34005500</v>
      </c>
      <c r="AO57" s="4">
        <f t="shared" si="70"/>
        <v>-1994500</v>
      </c>
      <c r="AP57" s="43">
        <f t="shared" si="71"/>
        <v>-6.2306707069444878</v>
      </c>
      <c r="AQ57" s="34"/>
      <c r="AR57" s="38"/>
      <c r="AS57" s="2"/>
      <c r="AY57" s="2"/>
      <c r="AZ57" s="2">
        <f t="shared" si="28"/>
        <v>0</v>
      </c>
    </row>
    <row r="58" spans="1:52" x14ac:dyDescent="0.25">
      <c r="A58" s="5" t="s">
        <v>60</v>
      </c>
      <c r="B58" s="4">
        <f>+[13]EjecucionPptalPasiva!$D$122</f>
        <v>48535000</v>
      </c>
      <c r="C58" s="4">
        <f>+[7]Ppto!$Y$16</f>
        <v>3215000</v>
      </c>
      <c r="D58" s="4">
        <v>0</v>
      </c>
      <c r="E58" s="4">
        <f t="shared" si="38"/>
        <v>3215000</v>
      </c>
      <c r="F58" s="4">
        <f>+'202501anual'!D121</f>
        <v>4120000</v>
      </c>
      <c r="G58" s="4">
        <f>+'202501anual'!Q121</f>
        <v>0</v>
      </c>
      <c r="H58" s="4">
        <f t="shared" si="39"/>
        <v>4120000</v>
      </c>
      <c r="I58" s="4">
        <f>+'202501anual'!E121</f>
        <v>4120000</v>
      </c>
      <c r="J58" s="4">
        <v>11591227</v>
      </c>
      <c r="K58" s="4">
        <f t="shared" si="64"/>
        <v>-7471227</v>
      </c>
      <c r="L58" s="4">
        <f>+'202501anual'!F121</f>
        <v>4120000</v>
      </c>
      <c r="M58" s="77">
        <v>4189600</v>
      </c>
      <c r="N58" s="4">
        <f t="shared" si="65"/>
        <v>-69600</v>
      </c>
      <c r="O58" s="4">
        <f>+'202501anual'!G121</f>
        <v>4120000</v>
      </c>
      <c r="P58" s="4">
        <f>+'202501anual'!T121</f>
        <v>4189600</v>
      </c>
      <c r="Q58" s="4">
        <f t="shared" si="66"/>
        <v>-69600</v>
      </c>
      <c r="R58" s="4">
        <f>+'202501anual'!H121</f>
        <v>4120000</v>
      </c>
      <c r="S58" s="4">
        <v>4189200</v>
      </c>
      <c r="T58" s="4">
        <f t="shared" si="73"/>
        <v>-69200</v>
      </c>
      <c r="U58" s="4">
        <f>+'202501anual'!I121</f>
        <v>4120000</v>
      </c>
      <c r="V58" s="4">
        <f>+'202501anual'!V121</f>
        <v>4189200</v>
      </c>
      <c r="W58" s="4">
        <f>+U58-V58</f>
        <v>-69200</v>
      </c>
      <c r="X58" s="127"/>
      <c r="Y58" s="4"/>
      <c r="Z58" s="4"/>
      <c r="AA58" s="4"/>
      <c r="AB58" s="4"/>
      <c r="AC58" s="4">
        <f t="shared" si="67"/>
        <v>0</v>
      </c>
      <c r="AD58" s="4"/>
      <c r="AE58" s="4"/>
      <c r="AF58" s="4">
        <f t="shared" si="46"/>
        <v>0</v>
      </c>
      <c r="AG58" s="4"/>
      <c r="AH58" s="4"/>
      <c r="AI58" s="4">
        <f t="shared" si="47"/>
        <v>0</v>
      </c>
      <c r="AJ58" s="4"/>
      <c r="AK58" s="4"/>
      <c r="AL58" s="4">
        <f t="shared" si="48"/>
        <v>0</v>
      </c>
      <c r="AM58" s="4">
        <f t="shared" si="68"/>
        <v>27935000</v>
      </c>
      <c r="AN58" s="4">
        <f t="shared" si="69"/>
        <v>28348827</v>
      </c>
      <c r="AO58" s="4">
        <f t="shared" si="70"/>
        <v>-413827</v>
      </c>
      <c r="AP58" s="43">
        <f t="shared" si="71"/>
        <v>-1.4813925183461607</v>
      </c>
      <c r="AQ58" s="34"/>
      <c r="AR58" s="36"/>
      <c r="AS58" s="2"/>
      <c r="AY58" s="2"/>
      <c r="AZ58" s="2">
        <f t="shared" si="28"/>
        <v>0</v>
      </c>
    </row>
    <row r="59" spans="1:52" hidden="1" x14ac:dyDescent="0.25">
      <c r="A59" s="21" t="s">
        <v>73</v>
      </c>
      <c r="B59" s="4">
        <v>0</v>
      </c>
      <c r="C59" s="4">
        <v>0</v>
      </c>
      <c r="D59" s="4">
        <v>0</v>
      </c>
      <c r="E59" s="4">
        <f t="shared" si="38"/>
        <v>0</v>
      </c>
      <c r="F59" s="4"/>
      <c r="G59" s="4"/>
      <c r="H59" s="4">
        <f t="shared" si="39"/>
        <v>0</v>
      </c>
      <c r="I59" s="4"/>
      <c r="J59" s="4"/>
      <c r="K59" s="4">
        <f t="shared" si="64"/>
        <v>0</v>
      </c>
      <c r="L59" s="4"/>
      <c r="M59" s="77"/>
      <c r="N59" s="4">
        <f t="shared" si="65"/>
        <v>0</v>
      </c>
      <c r="O59" s="4"/>
      <c r="P59" s="4"/>
      <c r="Q59" s="4">
        <f t="shared" si="66"/>
        <v>0</v>
      </c>
      <c r="R59" s="4"/>
      <c r="S59" s="4"/>
      <c r="T59" s="4">
        <f t="shared" si="73"/>
        <v>0</v>
      </c>
      <c r="U59" s="4"/>
      <c r="V59" s="4"/>
      <c r="W59" s="4">
        <f t="shared" si="74"/>
        <v>0</v>
      </c>
      <c r="X59" s="77"/>
      <c r="Y59" s="4"/>
      <c r="Z59" s="4"/>
      <c r="AA59" s="4"/>
      <c r="AB59" s="4"/>
      <c r="AC59" s="4">
        <f t="shared" si="67"/>
        <v>0</v>
      </c>
      <c r="AD59" s="4"/>
      <c r="AE59" s="4"/>
      <c r="AF59" s="4">
        <f t="shared" si="46"/>
        <v>0</v>
      </c>
      <c r="AG59" s="4"/>
      <c r="AH59" s="4"/>
      <c r="AI59" s="4">
        <f t="shared" si="47"/>
        <v>0</v>
      </c>
      <c r="AJ59" s="4"/>
      <c r="AK59" s="4"/>
      <c r="AL59" s="4">
        <f t="shared" si="48"/>
        <v>0</v>
      </c>
      <c r="AM59" s="4">
        <f t="shared" si="68"/>
        <v>0</v>
      </c>
      <c r="AN59" s="4">
        <f t="shared" si="69"/>
        <v>0</v>
      </c>
      <c r="AO59" s="4">
        <f t="shared" si="70"/>
        <v>0</v>
      </c>
      <c r="AP59" s="43" t="e">
        <f t="shared" si="71"/>
        <v>#DIV/0!</v>
      </c>
      <c r="AQ59" s="34"/>
      <c r="AR59" s="38"/>
      <c r="AS59" s="2"/>
      <c r="AY59" s="2"/>
      <c r="AZ59" s="2">
        <f t="shared" si="28"/>
        <v>0</v>
      </c>
    </row>
    <row r="60" spans="1:52" hidden="1" x14ac:dyDescent="0.25">
      <c r="A60" s="21" t="s">
        <v>27</v>
      </c>
      <c r="B60" s="4">
        <v>0</v>
      </c>
      <c r="C60" s="4">
        <v>0</v>
      </c>
      <c r="D60" s="4">
        <v>0</v>
      </c>
      <c r="E60" s="4">
        <f t="shared" si="38"/>
        <v>0</v>
      </c>
      <c r="F60" s="93">
        <f>+'202501anual'!D125</f>
        <v>0</v>
      </c>
      <c r="G60" s="4">
        <f>+'202501anual'!Q125</f>
        <v>0</v>
      </c>
      <c r="H60" s="4">
        <f t="shared" si="39"/>
        <v>0</v>
      </c>
      <c r="I60" s="93">
        <f>+'202501anual'!E125</f>
        <v>0</v>
      </c>
      <c r="J60" s="4"/>
      <c r="K60" s="4">
        <f t="shared" si="64"/>
        <v>0</v>
      </c>
      <c r="L60" s="4">
        <f>+'202501anual'!F125</f>
        <v>0</v>
      </c>
      <c r="M60" s="77"/>
      <c r="N60" s="4">
        <f t="shared" si="65"/>
        <v>0</v>
      </c>
      <c r="O60" s="4">
        <f>+'202501anual'!G125</f>
        <v>0</v>
      </c>
      <c r="P60" s="4"/>
      <c r="Q60" s="4">
        <f t="shared" si="66"/>
        <v>0</v>
      </c>
      <c r="R60" s="4">
        <f>+'202501anual'!H125</f>
        <v>0</v>
      </c>
      <c r="S60" s="4"/>
      <c r="T60" s="4">
        <f t="shared" si="73"/>
        <v>0</v>
      </c>
      <c r="U60" s="4">
        <f>+'202501anual'!I125</f>
        <v>0</v>
      </c>
      <c r="V60" s="4"/>
      <c r="W60" s="4">
        <f t="shared" si="74"/>
        <v>0</v>
      </c>
      <c r="X60" s="77"/>
      <c r="Y60" s="4"/>
      <c r="Z60" s="4"/>
      <c r="AA60" s="4"/>
      <c r="AB60" s="4"/>
      <c r="AC60" s="4">
        <f t="shared" si="67"/>
        <v>0</v>
      </c>
      <c r="AD60" s="4"/>
      <c r="AE60" s="4"/>
      <c r="AF60" s="4">
        <f t="shared" si="46"/>
        <v>0</v>
      </c>
      <c r="AG60" s="4"/>
      <c r="AH60" s="4"/>
      <c r="AI60" s="4">
        <f t="shared" si="47"/>
        <v>0</v>
      </c>
      <c r="AJ60" s="4"/>
      <c r="AK60" s="4"/>
      <c r="AL60" s="4">
        <f t="shared" si="48"/>
        <v>0</v>
      </c>
      <c r="AM60" s="4">
        <f t="shared" si="68"/>
        <v>0</v>
      </c>
      <c r="AN60" s="4">
        <f t="shared" si="69"/>
        <v>0</v>
      </c>
      <c r="AO60" s="4">
        <f t="shared" si="70"/>
        <v>0</v>
      </c>
      <c r="AP60" s="43" t="e">
        <f t="shared" si="71"/>
        <v>#DIV/0!</v>
      </c>
      <c r="AQ60" s="34"/>
      <c r="AR60" s="36"/>
      <c r="AS60" s="2"/>
      <c r="AY60" s="2"/>
      <c r="AZ60" s="2">
        <f t="shared" si="28"/>
        <v>0</v>
      </c>
    </row>
    <row r="61" spans="1:52" hidden="1" x14ac:dyDescent="0.25">
      <c r="A61" s="21" t="s">
        <v>74</v>
      </c>
      <c r="B61" s="4">
        <v>0</v>
      </c>
      <c r="C61" s="4">
        <v>0</v>
      </c>
      <c r="D61" s="4">
        <v>0</v>
      </c>
      <c r="E61" s="4">
        <f t="shared" si="38"/>
        <v>0</v>
      </c>
      <c r="F61" s="4"/>
      <c r="G61" s="4"/>
      <c r="H61" s="4">
        <f t="shared" si="39"/>
        <v>0</v>
      </c>
      <c r="I61" s="4"/>
      <c r="J61" s="4"/>
      <c r="K61" s="4">
        <f t="shared" si="64"/>
        <v>0</v>
      </c>
      <c r="L61" s="4"/>
      <c r="M61" s="77"/>
      <c r="N61" s="4">
        <f t="shared" si="65"/>
        <v>0</v>
      </c>
      <c r="O61" s="4"/>
      <c r="P61" s="4"/>
      <c r="Q61" s="4">
        <f t="shared" si="66"/>
        <v>0</v>
      </c>
      <c r="R61" s="4"/>
      <c r="S61" s="4"/>
      <c r="T61" s="4">
        <f t="shared" si="73"/>
        <v>0</v>
      </c>
      <c r="U61" s="4"/>
      <c r="V61" s="4"/>
      <c r="W61" s="4">
        <f t="shared" si="74"/>
        <v>0</v>
      </c>
      <c r="X61" s="77"/>
      <c r="Y61" s="4"/>
      <c r="Z61" s="4"/>
      <c r="AA61" s="4"/>
      <c r="AB61" s="4"/>
      <c r="AC61" s="4">
        <f t="shared" si="67"/>
        <v>0</v>
      </c>
      <c r="AD61" s="4"/>
      <c r="AE61" s="4"/>
      <c r="AF61" s="4">
        <f t="shared" si="46"/>
        <v>0</v>
      </c>
      <c r="AG61" s="4"/>
      <c r="AH61" s="4"/>
      <c r="AI61" s="4">
        <f t="shared" si="47"/>
        <v>0</v>
      </c>
      <c r="AJ61" s="4"/>
      <c r="AK61" s="4"/>
      <c r="AL61" s="4">
        <f t="shared" si="48"/>
        <v>0</v>
      </c>
      <c r="AM61" s="4">
        <f t="shared" si="68"/>
        <v>0</v>
      </c>
      <c r="AN61" s="4">
        <f t="shared" si="69"/>
        <v>0</v>
      </c>
      <c r="AO61" s="4">
        <f t="shared" si="70"/>
        <v>0</v>
      </c>
      <c r="AP61" s="43" t="e">
        <f t="shared" si="71"/>
        <v>#DIV/0!</v>
      </c>
      <c r="AQ61" s="34"/>
      <c r="AR61" s="38"/>
      <c r="AS61" s="2"/>
      <c r="AY61" s="2"/>
      <c r="AZ61" s="2">
        <f t="shared" si="28"/>
        <v>0</v>
      </c>
    </row>
    <row r="62" spans="1:52" hidden="1" x14ac:dyDescent="0.25">
      <c r="A62" s="21" t="s">
        <v>28</v>
      </c>
      <c r="B62" s="4">
        <f>+[13]EjecucionPptalPasiva!$D$112</f>
        <v>10000000</v>
      </c>
      <c r="C62" s="4">
        <v>0</v>
      </c>
      <c r="D62" s="4">
        <v>0</v>
      </c>
      <c r="E62" s="4">
        <f t="shared" si="38"/>
        <v>0</v>
      </c>
      <c r="F62" s="4">
        <f>+'202501anual'!D127</f>
        <v>0</v>
      </c>
      <c r="G62" s="4">
        <f>+'202501anual'!Q127</f>
        <v>0</v>
      </c>
      <c r="H62" s="4">
        <f t="shared" si="39"/>
        <v>0</v>
      </c>
      <c r="I62" s="4">
        <f>+'202501anual'!E127</f>
        <v>0</v>
      </c>
      <c r="J62" s="4">
        <v>0</v>
      </c>
      <c r="K62" s="4">
        <f t="shared" si="64"/>
        <v>0</v>
      </c>
      <c r="L62" s="4">
        <f>+'202501anual'!F127</f>
        <v>0</v>
      </c>
      <c r="M62" s="77"/>
      <c r="N62" s="4">
        <f t="shared" si="65"/>
        <v>0</v>
      </c>
      <c r="O62" s="4">
        <f>+'202501anual'!G127</f>
        <v>0</v>
      </c>
      <c r="P62" s="4"/>
      <c r="Q62" s="4">
        <f t="shared" si="66"/>
        <v>0</v>
      </c>
      <c r="R62" s="4">
        <f>+'202501anual'!H127</f>
        <v>0</v>
      </c>
      <c r="S62" s="4"/>
      <c r="T62" s="4">
        <f t="shared" si="73"/>
        <v>0</v>
      </c>
      <c r="U62" s="4">
        <f>+'202501anual'!I127</f>
        <v>0</v>
      </c>
      <c r="V62" s="4"/>
      <c r="W62" s="4">
        <f t="shared" si="74"/>
        <v>0</v>
      </c>
      <c r="X62" s="77"/>
      <c r="Y62" s="4"/>
      <c r="Z62" s="4"/>
      <c r="AA62" s="4"/>
      <c r="AB62" s="4"/>
      <c r="AC62" s="4">
        <f t="shared" si="67"/>
        <v>0</v>
      </c>
      <c r="AD62" s="4"/>
      <c r="AE62" s="4"/>
      <c r="AF62" s="4">
        <f t="shared" si="46"/>
        <v>0</v>
      </c>
      <c r="AG62" s="4"/>
      <c r="AH62" s="4"/>
      <c r="AI62" s="4">
        <f t="shared" si="47"/>
        <v>0</v>
      </c>
      <c r="AJ62" s="4"/>
      <c r="AK62" s="4"/>
      <c r="AL62" s="4">
        <f t="shared" si="48"/>
        <v>0</v>
      </c>
      <c r="AM62" s="4">
        <f t="shared" si="68"/>
        <v>0</v>
      </c>
      <c r="AN62" s="4">
        <f t="shared" si="69"/>
        <v>0</v>
      </c>
      <c r="AO62" s="4">
        <f t="shared" si="70"/>
        <v>0</v>
      </c>
      <c r="AP62" s="43" t="e">
        <f t="shared" si="71"/>
        <v>#DIV/0!</v>
      </c>
      <c r="AQ62" s="34"/>
      <c r="AR62" s="38"/>
      <c r="AS62" s="2"/>
      <c r="AY62" s="2"/>
      <c r="AZ62" s="2">
        <f t="shared" si="28"/>
        <v>0</v>
      </c>
    </row>
    <row r="63" spans="1:52" ht="15" customHeight="1" x14ac:dyDescent="0.25">
      <c r="A63" s="21" t="s">
        <v>163</v>
      </c>
      <c r="B63" s="4">
        <f>+[13]EjecucionPptalPasiva!$D$123</f>
        <v>16200000</v>
      </c>
      <c r="C63" s="4">
        <f>+[7]Ppto!$Y$79</f>
        <v>800000</v>
      </c>
      <c r="D63" s="4">
        <v>630000</v>
      </c>
      <c r="E63" s="4">
        <f t="shared" si="38"/>
        <v>170000</v>
      </c>
      <c r="F63" s="4">
        <f>+'202501anual'!D129</f>
        <v>2134000</v>
      </c>
      <c r="G63" s="4">
        <f>+'202501anual'!Q129</f>
        <v>0</v>
      </c>
      <c r="H63" s="4">
        <f t="shared" si="39"/>
        <v>2134000</v>
      </c>
      <c r="I63" s="4">
        <f>+'202501anual'!E129</f>
        <v>2134000</v>
      </c>
      <c r="J63" s="4">
        <v>0</v>
      </c>
      <c r="K63" s="4">
        <f t="shared" si="64"/>
        <v>2134000</v>
      </c>
      <c r="L63" s="4">
        <f>+'202501anual'!F129</f>
        <v>2134000</v>
      </c>
      <c r="M63" s="77">
        <v>0</v>
      </c>
      <c r="N63" s="4">
        <f t="shared" si="65"/>
        <v>2134000</v>
      </c>
      <c r="O63" s="4">
        <f>+'202501anual'!G129</f>
        <v>4534000</v>
      </c>
      <c r="P63" s="4">
        <f>+'202501anual'!T129</f>
        <v>2076800</v>
      </c>
      <c r="Q63" s="4">
        <f t="shared" si="66"/>
        <v>2457200</v>
      </c>
      <c r="R63" s="4">
        <f>+'202501anual'!H129</f>
        <v>2134000</v>
      </c>
      <c r="S63" s="4">
        <v>0</v>
      </c>
      <c r="T63" s="4">
        <f t="shared" si="73"/>
        <v>2134000</v>
      </c>
      <c r="U63" s="4">
        <f>+'202501anual'!I129</f>
        <v>2134000</v>
      </c>
      <c r="V63" s="4">
        <f>+'202501anual'!V129</f>
        <v>8307200</v>
      </c>
      <c r="W63" s="4">
        <f>+U63-V63</f>
        <v>-6173200</v>
      </c>
      <c r="X63" s="127"/>
      <c r="Y63" s="4"/>
      <c r="Z63" s="4"/>
      <c r="AA63" s="77"/>
      <c r="AB63" s="4"/>
      <c r="AC63" s="4">
        <f t="shared" si="67"/>
        <v>0</v>
      </c>
      <c r="AD63" s="77"/>
      <c r="AE63" s="4"/>
      <c r="AF63" s="4">
        <f t="shared" si="46"/>
        <v>0</v>
      </c>
      <c r="AG63" s="77"/>
      <c r="AH63" s="4"/>
      <c r="AI63" s="4">
        <f t="shared" si="47"/>
        <v>0</v>
      </c>
      <c r="AJ63" s="77"/>
      <c r="AK63" s="4"/>
      <c r="AL63" s="4">
        <f t="shared" si="48"/>
        <v>0</v>
      </c>
      <c r="AM63" s="4">
        <f t="shared" si="68"/>
        <v>16004000</v>
      </c>
      <c r="AN63" s="4">
        <f t="shared" si="69"/>
        <v>11014000</v>
      </c>
      <c r="AO63" s="4">
        <f t="shared" si="70"/>
        <v>4990000</v>
      </c>
      <c r="AP63" s="43">
        <f t="shared" si="71"/>
        <v>31.179705073731569</v>
      </c>
      <c r="AQ63" s="34"/>
      <c r="AR63" s="38"/>
      <c r="AS63" s="2"/>
      <c r="AY63" s="2"/>
      <c r="AZ63" s="2">
        <f t="shared" si="28"/>
        <v>0</v>
      </c>
    </row>
    <row r="64" spans="1:52" x14ac:dyDescent="0.25">
      <c r="A64" s="21" t="s">
        <v>221</v>
      </c>
      <c r="B64" s="4">
        <f>+[13]EjecucionPptalPasiva!$D$91+[13]EjecucionPptalPasiva!$D$110+[13]EjecucionPptalPasiva!$D$120</f>
        <v>6250000</v>
      </c>
      <c r="C64" s="4">
        <v>0</v>
      </c>
      <c r="D64" s="4"/>
      <c r="E64" s="4">
        <f t="shared" si="38"/>
        <v>0</v>
      </c>
      <c r="F64" s="4">
        <f>+'202501anual'!D130</f>
        <v>0</v>
      </c>
      <c r="G64" s="4">
        <f>+'202501anual'!Q130</f>
        <v>42000</v>
      </c>
      <c r="H64" s="4">
        <f t="shared" si="39"/>
        <v>-42000</v>
      </c>
      <c r="I64" s="4">
        <f>+'202501anual'!E130</f>
        <v>1200000</v>
      </c>
      <c r="J64" s="4">
        <v>0</v>
      </c>
      <c r="K64" s="4">
        <f t="shared" si="64"/>
        <v>1200000</v>
      </c>
      <c r="L64" s="4">
        <f>+'202501anual'!F130</f>
        <v>950000</v>
      </c>
      <c r="M64" s="77">
        <v>0</v>
      </c>
      <c r="N64" s="4">
        <f t="shared" si="65"/>
        <v>950000</v>
      </c>
      <c r="O64" s="4">
        <f>+'202501anual'!G130</f>
        <v>0</v>
      </c>
      <c r="P64" s="4">
        <v>0</v>
      </c>
      <c r="Q64" s="4">
        <f t="shared" si="66"/>
        <v>0</v>
      </c>
      <c r="R64" s="4">
        <f>+'202501anual'!H130</f>
        <v>0</v>
      </c>
      <c r="S64" s="4">
        <v>2499500</v>
      </c>
      <c r="T64" s="4">
        <f t="shared" si="73"/>
        <v>-2499500</v>
      </c>
      <c r="U64" s="4">
        <f>+'202501anual'!I130</f>
        <v>0</v>
      </c>
      <c r="V64" s="4">
        <v>0</v>
      </c>
      <c r="W64" s="4">
        <f>+U64-V64</f>
        <v>0</v>
      </c>
      <c r="X64" s="77"/>
      <c r="Y64" s="4"/>
      <c r="Z64" s="4"/>
      <c r="AA64" s="4"/>
      <c r="AB64" s="4"/>
      <c r="AC64" s="4">
        <f t="shared" si="67"/>
        <v>0</v>
      </c>
      <c r="AD64" s="4"/>
      <c r="AE64" s="4"/>
      <c r="AF64" s="4">
        <f t="shared" si="46"/>
        <v>0</v>
      </c>
      <c r="AG64" s="4"/>
      <c r="AH64" s="4"/>
      <c r="AI64" s="4">
        <f t="shared" si="47"/>
        <v>0</v>
      </c>
      <c r="AJ64" s="4"/>
      <c r="AK64" s="4"/>
      <c r="AL64" s="4">
        <f t="shared" si="48"/>
        <v>0</v>
      </c>
      <c r="AM64" s="4">
        <f t="shared" si="68"/>
        <v>2150000</v>
      </c>
      <c r="AN64" s="4">
        <f t="shared" si="69"/>
        <v>2541500</v>
      </c>
      <c r="AO64" s="4">
        <f t="shared" si="70"/>
        <v>-391500</v>
      </c>
      <c r="AP64" s="43">
        <f t="shared" si="71"/>
        <v>-18.209302325581394</v>
      </c>
      <c r="AQ64" s="34"/>
      <c r="AR64" s="38"/>
      <c r="AS64" s="2"/>
      <c r="AY64" s="2"/>
      <c r="AZ64" s="2">
        <f t="shared" si="28"/>
        <v>0</v>
      </c>
    </row>
    <row r="65" spans="1:52" x14ac:dyDescent="0.25">
      <c r="A65" s="21" t="s">
        <v>179</v>
      </c>
      <c r="B65" s="4">
        <v>0</v>
      </c>
      <c r="C65" s="4">
        <v>0</v>
      </c>
      <c r="D65" s="4">
        <v>0</v>
      </c>
      <c r="E65" s="4">
        <f t="shared" si="38"/>
        <v>0</v>
      </c>
      <c r="F65" s="4"/>
      <c r="G65" s="4"/>
      <c r="H65" s="4">
        <f t="shared" si="39"/>
        <v>0</v>
      </c>
      <c r="I65" s="4"/>
      <c r="J65" s="4"/>
      <c r="K65" s="4">
        <f t="shared" si="64"/>
        <v>0</v>
      </c>
      <c r="L65" s="4"/>
      <c r="M65" s="77"/>
      <c r="N65" s="4">
        <f t="shared" si="65"/>
        <v>0</v>
      </c>
      <c r="O65" s="4">
        <f>+'202501anual'!G131</f>
        <v>8000000</v>
      </c>
      <c r="P65" s="4">
        <f>+'202501anual'!T131</f>
        <v>4384000</v>
      </c>
      <c r="Q65" s="4">
        <f t="shared" si="66"/>
        <v>3616000</v>
      </c>
      <c r="R65" s="4">
        <f>+'202501anual'!H131</f>
        <v>6500000</v>
      </c>
      <c r="S65" s="4">
        <v>423171</v>
      </c>
      <c r="T65" s="4">
        <f t="shared" si="73"/>
        <v>6076829</v>
      </c>
      <c r="U65" s="4">
        <f>+'202501anual'!I131</f>
        <v>1400000</v>
      </c>
      <c r="V65" s="4">
        <f>+'202501anual'!V131</f>
        <v>0</v>
      </c>
      <c r="W65" s="4">
        <f>+U65-V65</f>
        <v>1400000</v>
      </c>
      <c r="X65" s="77"/>
      <c r="Y65" s="4"/>
      <c r="Z65" s="4"/>
      <c r="AA65" s="4"/>
      <c r="AB65" s="4"/>
      <c r="AC65" s="4">
        <f t="shared" si="67"/>
        <v>0</v>
      </c>
      <c r="AD65" s="4"/>
      <c r="AE65" s="4"/>
      <c r="AF65" s="4">
        <f t="shared" si="46"/>
        <v>0</v>
      </c>
      <c r="AG65" s="4"/>
      <c r="AH65" s="4"/>
      <c r="AI65" s="4">
        <f t="shared" si="47"/>
        <v>0</v>
      </c>
      <c r="AJ65" s="4"/>
      <c r="AK65" s="4"/>
      <c r="AL65" s="4">
        <f t="shared" si="48"/>
        <v>0</v>
      </c>
      <c r="AM65" s="4">
        <f t="shared" si="68"/>
        <v>15900000</v>
      </c>
      <c r="AN65" s="4">
        <f t="shared" si="69"/>
        <v>4807171</v>
      </c>
      <c r="AO65" s="4">
        <f t="shared" si="70"/>
        <v>11092829</v>
      </c>
      <c r="AP65" s="43">
        <f t="shared" si="71"/>
        <v>69.766220125786162</v>
      </c>
      <c r="AQ65" s="34"/>
      <c r="AR65" s="36"/>
      <c r="AS65" s="2"/>
      <c r="AY65" s="2"/>
      <c r="AZ65" s="2">
        <f t="shared" si="28"/>
        <v>0</v>
      </c>
    </row>
    <row r="66" spans="1:52" ht="15" customHeight="1" x14ac:dyDescent="0.25">
      <c r="A66" s="21" t="s">
        <v>78</v>
      </c>
      <c r="B66" s="4">
        <f>+[13]EjecucionPptalPasiva!$D$104</f>
        <v>1200000</v>
      </c>
      <c r="C66" s="4">
        <f>+[7]Ppto!$Y$90</f>
        <v>100000</v>
      </c>
      <c r="D66" s="4">
        <v>0</v>
      </c>
      <c r="E66" s="4">
        <f t="shared" si="38"/>
        <v>100000</v>
      </c>
      <c r="F66" s="4">
        <f>+'202501anual'!D134</f>
        <v>100000</v>
      </c>
      <c r="G66" s="4">
        <f>+'202501anual'!Q134</f>
        <v>0</v>
      </c>
      <c r="H66" s="4">
        <f t="shared" si="39"/>
        <v>100000</v>
      </c>
      <c r="I66" s="4">
        <f>+'202501anual'!E134+'202501anual'!E133</f>
        <v>4700000</v>
      </c>
      <c r="J66" s="4">
        <f>+[28]EjecucionPptalPasiva!$Q$64</f>
        <v>4983700</v>
      </c>
      <c r="K66" s="4">
        <f t="shared" si="64"/>
        <v>-283700</v>
      </c>
      <c r="L66" s="4">
        <f>+'202501anual'!F134+'202501anual'!F133</f>
        <v>4700000</v>
      </c>
      <c r="M66" s="77">
        <v>0</v>
      </c>
      <c r="N66" s="4">
        <f t="shared" si="65"/>
        <v>4700000</v>
      </c>
      <c r="O66" s="4">
        <f>+'202501anual'!G134</f>
        <v>100000</v>
      </c>
      <c r="P66" s="4">
        <f>+'202501anual'!T134</f>
        <v>46000</v>
      </c>
      <c r="Q66" s="4">
        <f t="shared" si="66"/>
        <v>54000</v>
      </c>
      <c r="R66" s="4">
        <f>+'202501anual'!H134</f>
        <v>100000</v>
      </c>
      <c r="S66" s="4">
        <v>12100</v>
      </c>
      <c r="T66" s="4">
        <f t="shared" si="73"/>
        <v>87900</v>
      </c>
      <c r="U66" s="4">
        <f>+'202501anual'!I134</f>
        <v>100000</v>
      </c>
      <c r="V66" s="4">
        <f>+'202501anual'!V134</f>
        <v>12900</v>
      </c>
      <c r="W66" s="4">
        <f>+U66-V66</f>
        <v>87100</v>
      </c>
      <c r="X66" s="127"/>
      <c r="Y66" s="4"/>
      <c r="Z66" s="4"/>
      <c r="AA66" s="77"/>
      <c r="AB66" s="4"/>
      <c r="AC66" s="4">
        <f t="shared" si="67"/>
        <v>0</v>
      </c>
      <c r="AD66" s="77"/>
      <c r="AE66" s="4"/>
      <c r="AF66" s="4">
        <f t="shared" si="46"/>
        <v>0</v>
      </c>
      <c r="AG66" s="77"/>
      <c r="AH66" s="4"/>
      <c r="AI66" s="4">
        <f t="shared" si="47"/>
        <v>0</v>
      </c>
      <c r="AJ66" s="77"/>
      <c r="AK66" s="4"/>
      <c r="AL66" s="4">
        <f t="shared" si="48"/>
        <v>0</v>
      </c>
      <c r="AM66" s="4">
        <f t="shared" si="68"/>
        <v>9900000</v>
      </c>
      <c r="AN66" s="4">
        <f t="shared" si="69"/>
        <v>5054700</v>
      </c>
      <c r="AO66" s="4">
        <f t="shared" si="70"/>
        <v>4845300</v>
      </c>
      <c r="AP66" s="43">
        <f t="shared" si="71"/>
        <v>48.942424242424245</v>
      </c>
      <c r="AQ66" s="34"/>
      <c r="AR66" s="36"/>
      <c r="AS66" s="2"/>
      <c r="AY66" s="2"/>
      <c r="AZ66" s="2">
        <f t="shared" si="28"/>
        <v>0</v>
      </c>
    </row>
    <row r="67" spans="1:52" ht="30" hidden="1" x14ac:dyDescent="0.25">
      <c r="A67" s="21" t="s">
        <v>136</v>
      </c>
      <c r="B67" s="4">
        <v>0</v>
      </c>
      <c r="C67" s="4">
        <v>0</v>
      </c>
      <c r="D67" s="4">
        <v>0</v>
      </c>
      <c r="E67" s="4">
        <f t="shared" si="38"/>
        <v>0</v>
      </c>
      <c r="F67" s="4"/>
      <c r="G67" s="4"/>
      <c r="H67" s="4">
        <f t="shared" si="39"/>
        <v>0</v>
      </c>
      <c r="I67" s="4"/>
      <c r="J67" s="4"/>
      <c r="K67" s="4">
        <f t="shared" si="64"/>
        <v>0</v>
      </c>
      <c r="L67" s="4"/>
      <c r="M67" s="77"/>
      <c r="N67" s="4">
        <f t="shared" si="65"/>
        <v>0</v>
      </c>
      <c r="O67" s="4"/>
      <c r="P67" s="4"/>
      <c r="Q67" s="4">
        <f t="shared" si="66"/>
        <v>0</v>
      </c>
      <c r="R67" s="4"/>
      <c r="S67" s="4"/>
      <c r="T67" s="4">
        <f t="shared" si="73"/>
        <v>0</v>
      </c>
      <c r="U67" s="4"/>
      <c r="V67" s="4"/>
      <c r="W67" s="4">
        <f t="shared" si="74"/>
        <v>0</v>
      </c>
      <c r="X67" s="127"/>
      <c r="Y67" s="4"/>
      <c r="Z67" s="4"/>
      <c r="AA67" s="77"/>
      <c r="AB67" s="4"/>
      <c r="AC67" s="4">
        <f t="shared" si="67"/>
        <v>0</v>
      </c>
      <c r="AD67" s="77"/>
      <c r="AE67" s="4"/>
      <c r="AF67" s="4">
        <f t="shared" si="46"/>
        <v>0</v>
      </c>
      <c r="AG67" s="77"/>
      <c r="AH67" s="4"/>
      <c r="AI67" s="4">
        <f t="shared" si="47"/>
        <v>0</v>
      </c>
      <c r="AJ67" s="77"/>
      <c r="AK67" s="4"/>
      <c r="AL67" s="4">
        <f t="shared" si="48"/>
        <v>0</v>
      </c>
      <c r="AM67" s="4">
        <f t="shared" si="68"/>
        <v>0</v>
      </c>
      <c r="AN67" s="4">
        <f t="shared" si="69"/>
        <v>0</v>
      </c>
      <c r="AO67" s="4">
        <f t="shared" si="70"/>
        <v>0</v>
      </c>
      <c r="AP67" s="43" t="e">
        <f t="shared" si="71"/>
        <v>#DIV/0!</v>
      </c>
      <c r="AQ67" s="34"/>
      <c r="AR67" s="38"/>
      <c r="AS67" s="2"/>
      <c r="AY67" s="2"/>
      <c r="AZ67" s="2">
        <f t="shared" si="28"/>
        <v>0</v>
      </c>
    </row>
    <row r="68" spans="1:52" ht="30" hidden="1" x14ac:dyDescent="0.25">
      <c r="A68" s="21" t="s">
        <v>137</v>
      </c>
      <c r="B68" s="4">
        <v>0</v>
      </c>
      <c r="C68" s="4">
        <v>0</v>
      </c>
      <c r="D68" s="4">
        <v>0</v>
      </c>
      <c r="E68" s="4">
        <f t="shared" si="38"/>
        <v>0</v>
      </c>
      <c r="F68" s="4"/>
      <c r="G68" s="4"/>
      <c r="H68" s="4">
        <f t="shared" si="39"/>
        <v>0</v>
      </c>
      <c r="I68" s="4"/>
      <c r="J68" s="4"/>
      <c r="K68" s="4">
        <f t="shared" si="64"/>
        <v>0</v>
      </c>
      <c r="L68" s="4"/>
      <c r="M68" s="77"/>
      <c r="N68" s="4">
        <f t="shared" si="65"/>
        <v>0</v>
      </c>
      <c r="O68" s="4"/>
      <c r="P68" s="4"/>
      <c r="Q68" s="4">
        <f t="shared" si="66"/>
        <v>0</v>
      </c>
      <c r="R68" s="4"/>
      <c r="S68" s="4"/>
      <c r="T68" s="4">
        <f t="shared" si="73"/>
        <v>0</v>
      </c>
      <c r="U68" s="4"/>
      <c r="V68" s="4"/>
      <c r="W68" s="4">
        <f t="shared" si="74"/>
        <v>0</v>
      </c>
      <c r="X68" s="77"/>
      <c r="Y68" s="4"/>
      <c r="Z68" s="4"/>
      <c r="AA68" s="4"/>
      <c r="AB68" s="4"/>
      <c r="AC68" s="4">
        <f t="shared" si="67"/>
        <v>0</v>
      </c>
      <c r="AD68" s="4"/>
      <c r="AE68" s="4"/>
      <c r="AF68" s="4">
        <f t="shared" si="46"/>
        <v>0</v>
      </c>
      <c r="AG68" s="4"/>
      <c r="AH68" s="4"/>
      <c r="AI68" s="4">
        <f t="shared" si="47"/>
        <v>0</v>
      </c>
      <c r="AJ68" s="4"/>
      <c r="AK68" s="4"/>
      <c r="AL68" s="4">
        <f t="shared" si="48"/>
        <v>0</v>
      </c>
      <c r="AM68" s="4">
        <f t="shared" si="68"/>
        <v>0</v>
      </c>
      <c r="AN68" s="4">
        <f t="shared" si="69"/>
        <v>0</v>
      </c>
      <c r="AO68" s="4">
        <f t="shared" si="70"/>
        <v>0</v>
      </c>
      <c r="AP68" s="43" t="e">
        <f t="shared" si="71"/>
        <v>#DIV/0!</v>
      </c>
      <c r="AQ68" s="34"/>
      <c r="AR68" s="38"/>
      <c r="AS68" s="2"/>
      <c r="AY68" s="2"/>
      <c r="AZ68" s="2">
        <f t="shared" si="28"/>
        <v>0</v>
      </c>
    </row>
    <row r="69" spans="1:52" ht="15" customHeight="1" x14ac:dyDescent="0.25">
      <c r="A69" s="21" t="s">
        <v>165</v>
      </c>
      <c r="B69" s="4">
        <f>+[13]EjecucionPptalPasiva!$D$130+[13]EjecucionPptalPasiva!$D$133</f>
        <v>10500000</v>
      </c>
      <c r="C69" s="4">
        <v>0</v>
      </c>
      <c r="D69" s="4">
        <v>0</v>
      </c>
      <c r="E69" s="4">
        <f t="shared" si="38"/>
        <v>0</v>
      </c>
      <c r="F69" s="4"/>
      <c r="G69" s="4"/>
      <c r="H69" s="4">
        <f t="shared" si="39"/>
        <v>0</v>
      </c>
      <c r="I69" s="4">
        <f>+'202501anual'!E138-1100000</f>
        <v>3900000</v>
      </c>
      <c r="J69" s="4">
        <v>0</v>
      </c>
      <c r="K69" s="4">
        <f t="shared" si="64"/>
        <v>3900000</v>
      </c>
      <c r="L69" s="4">
        <f>+'202501anual'!F138</f>
        <v>3000000</v>
      </c>
      <c r="M69" s="77">
        <v>0</v>
      </c>
      <c r="N69" s="4">
        <f t="shared" si="65"/>
        <v>3000000</v>
      </c>
      <c r="O69" s="4">
        <f>+'202501anual'!G138</f>
        <v>0</v>
      </c>
      <c r="P69" s="4">
        <v>0</v>
      </c>
      <c r="Q69" s="4">
        <f t="shared" si="66"/>
        <v>0</v>
      </c>
      <c r="R69" s="4">
        <f>+'202501anual'!H138</f>
        <v>5000000</v>
      </c>
      <c r="S69" s="4">
        <v>0</v>
      </c>
      <c r="T69" s="4">
        <f t="shared" si="73"/>
        <v>5000000</v>
      </c>
      <c r="U69" s="4">
        <f>+'202501anual'!I138</f>
        <v>0</v>
      </c>
      <c r="V69" s="4">
        <v>0</v>
      </c>
      <c r="W69" s="4">
        <f>+U69-V69</f>
        <v>0</v>
      </c>
      <c r="X69" s="77"/>
      <c r="Y69" s="4"/>
      <c r="Z69" s="4"/>
      <c r="AA69" s="4"/>
      <c r="AB69" s="4"/>
      <c r="AC69" s="4">
        <f t="shared" si="67"/>
        <v>0</v>
      </c>
      <c r="AD69" s="4"/>
      <c r="AE69" s="4"/>
      <c r="AF69" s="4">
        <f t="shared" si="46"/>
        <v>0</v>
      </c>
      <c r="AG69" s="4"/>
      <c r="AH69" s="4"/>
      <c r="AI69" s="4">
        <f t="shared" si="47"/>
        <v>0</v>
      </c>
      <c r="AJ69" s="4"/>
      <c r="AK69" s="4"/>
      <c r="AL69" s="4">
        <f t="shared" si="48"/>
        <v>0</v>
      </c>
      <c r="AM69" s="4">
        <f t="shared" si="68"/>
        <v>11900000</v>
      </c>
      <c r="AN69" s="4">
        <f t="shared" si="69"/>
        <v>0</v>
      </c>
      <c r="AO69" s="4">
        <f t="shared" si="70"/>
        <v>11900000</v>
      </c>
      <c r="AP69" s="43">
        <f t="shared" si="71"/>
        <v>100</v>
      </c>
      <c r="AQ69" s="34"/>
      <c r="AR69" s="38"/>
      <c r="AS69" s="2"/>
      <c r="AY69" s="2"/>
      <c r="AZ69" s="2">
        <f t="shared" si="28"/>
        <v>0</v>
      </c>
    </row>
    <row r="70" spans="1:52" ht="15" hidden="1" customHeight="1" x14ac:dyDescent="0.25">
      <c r="A70" s="21" t="s">
        <v>33</v>
      </c>
      <c r="B70" s="4">
        <f>+[13]EjecucionPptalPasiva!$D$100</f>
        <v>11800000</v>
      </c>
      <c r="C70" s="4">
        <v>0</v>
      </c>
      <c r="D70" s="4">
        <v>0</v>
      </c>
      <c r="E70" s="4">
        <f t="shared" si="38"/>
        <v>0</v>
      </c>
      <c r="F70" s="4"/>
      <c r="G70" s="4"/>
      <c r="H70" s="4">
        <f t="shared" si="39"/>
        <v>0</v>
      </c>
      <c r="I70" s="4"/>
      <c r="J70" s="4">
        <v>0</v>
      </c>
      <c r="K70" s="4">
        <f t="shared" si="64"/>
        <v>0</v>
      </c>
      <c r="L70" s="4"/>
      <c r="M70" s="77"/>
      <c r="N70" s="4">
        <f t="shared" si="65"/>
        <v>0</v>
      </c>
      <c r="O70" s="4"/>
      <c r="P70" s="4"/>
      <c r="Q70" s="4">
        <f t="shared" si="66"/>
        <v>0</v>
      </c>
      <c r="R70" s="4"/>
      <c r="S70" s="4"/>
      <c r="T70" s="4">
        <f t="shared" si="73"/>
        <v>0</v>
      </c>
      <c r="U70" s="4"/>
      <c r="V70" s="4"/>
      <c r="W70" s="4">
        <f t="shared" si="74"/>
        <v>0</v>
      </c>
      <c r="X70" s="127"/>
      <c r="Y70" s="4"/>
      <c r="Z70" s="4"/>
      <c r="AA70" s="4"/>
      <c r="AB70" s="4"/>
      <c r="AC70" s="4">
        <f t="shared" si="67"/>
        <v>0</v>
      </c>
      <c r="AD70" s="4"/>
      <c r="AE70" s="4"/>
      <c r="AF70" s="4">
        <f t="shared" si="46"/>
        <v>0</v>
      </c>
      <c r="AG70" s="4"/>
      <c r="AH70" s="4"/>
      <c r="AI70" s="4">
        <f t="shared" si="47"/>
        <v>0</v>
      </c>
      <c r="AJ70" s="4"/>
      <c r="AK70" s="4"/>
      <c r="AL70" s="4">
        <f t="shared" si="48"/>
        <v>0</v>
      </c>
      <c r="AM70" s="4">
        <f t="shared" si="68"/>
        <v>0</v>
      </c>
      <c r="AN70" s="4">
        <f t="shared" si="69"/>
        <v>0</v>
      </c>
      <c r="AO70" s="4">
        <f t="shared" si="70"/>
        <v>0</v>
      </c>
      <c r="AP70" s="43" t="e">
        <f t="shared" si="71"/>
        <v>#DIV/0!</v>
      </c>
      <c r="AQ70" s="34"/>
      <c r="AR70" s="38"/>
      <c r="AS70" s="2"/>
      <c r="AY70" s="2"/>
      <c r="AZ70" s="2">
        <f t="shared" si="28"/>
        <v>0</v>
      </c>
    </row>
    <row r="71" spans="1:52" ht="15" customHeight="1" x14ac:dyDescent="0.25">
      <c r="A71" s="5" t="s">
        <v>68</v>
      </c>
      <c r="B71" s="4">
        <f>+[13]EjecucionPptalPasiva!$D$101</f>
        <v>24000000</v>
      </c>
      <c r="C71" s="4">
        <f>+[7]Ppto!$Y$89</f>
        <v>2000000</v>
      </c>
      <c r="D71" s="4">
        <v>2663472</v>
      </c>
      <c r="E71" s="4">
        <f t="shared" si="38"/>
        <v>-663472</v>
      </c>
      <c r="F71" s="4">
        <f>+'202501anual'!D152</f>
        <v>2000000</v>
      </c>
      <c r="G71" s="4">
        <f>+'202501anual'!Q152</f>
        <v>0</v>
      </c>
      <c r="H71" s="4">
        <f t="shared" si="39"/>
        <v>2000000</v>
      </c>
      <c r="I71" s="4">
        <f>+'202501anual'!E152</f>
        <v>2000000</v>
      </c>
      <c r="J71" s="4">
        <f>+[28]EjecucionPptalPasiva!$Q$61</f>
        <v>270000</v>
      </c>
      <c r="K71" s="4">
        <f t="shared" si="64"/>
        <v>1730000</v>
      </c>
      <c r="L71" s="4">
        <f>+'202501anual'!F152</f>
        <v>2000000</v>
      </c>
      <c r="M71" s="77">
        <v>1539269</v>
      </c>
      <c r="N71" s="4">
        <f t="shared" si="65"/>
        <v>460731</v>
      </c>
      <c r="O71" s="4">
        <f>+'202501anual'!G152</f>
        <v>2000000</v>
      </c>
      <c r="P71" s="4">
        <f>+'202501anual'!T152</f>
        <v>4565827</v>
      </c>
      <c r="Q71" s="4">
        <f t="shared" si="66"/>
        <v>-2565827</v>
      </c>
      <c r="R71" s="4">
        <f>+'202501anual'!H152</f>
        <v>2000000</v>
      </c>
      <c r="S71" s="4">
        <v>5959767</v>
      </c>
      <c r="T71" s="4">
        <f t="shared" si="73"/>
        <v>-3959767</v>
      </c>
      <c r="U71" s="4">
        <f>+'202501anual'!I152</f>
        <v>2000000</v>
      </c>
      <c r="V71" s="4">
        <f>+'202501anual'!V152</f>
        <v>7875187</v>
      </c>
      <c r="W71" s="4">
        <f>+U71-V71</f>
        <v>-5875187</v>
      </c>
      <c r="X71" s="127"/>
      <c r="Y71" s="4"/>
      <c r="Z71" s="4"/>
      <c r="AA71" s="77"/>
      <c r="AB71" s="4"/>
      <c r="AC71" s="4">
        <f t="shared" si="67"/>
        <v>0</v>
      </c>
      <c r="AD71" s="77"/>
      <c r="AE71" s="4"/>
      <c r="AF71" s="4">
        <f t="shared" si="46"/>
        <v>0</v>
      </c>
      <c r="AG71" s="77"/>
      <c r="AH71" s="4"/>
      <c r="AI71" s="4">
        <f t="shared" si="47"/>
        <v>0</v>
      </c>
      <c r="AJ71" s="77"/>
      <c r="AK71" s="4"/>
      <c r="AL71" s="4">
        <f t="shared" si="48"/>
        <v>0</v>
      </c>
      <c r="AM71" s="4">
        <f t="shared" si="68"/>
        <v>14000000</v>
      </c>
      <c r="AN71" s="4">
        <f t="shared" si="69"/>
        <v>22873522</v>
      </c>
      <c r="AO71" s="4">
        <f t="shared" si="70"/>
        <v>-8873522</v>
      </c>
      <c r="AP71" s="43">
        <f t="shared" si="71"/>
        <v>-63.382300000000001</v>
      </c>
      <c r="AQ71" s="34"/>
      <c r="AR71" s="38"/>
      <c r="AS71" s="2"/>
      <c r="AY71" s="2"/>
      <c r="AZ71" s="2">
        <f t="shared" si="28"/>
        <v>0</v>
      </c>
    </row>
    <row r="72" spans="1:52" ht="15" customHeight="1" x14ac:dyDescent="0.25">
      <c r="A72" s="5" t="s">
        <v>86</v>
      </c>
      <c r="B72" s="4">
        <f>+[13]EjecucionPptalPasiva!$D$127</f>
        <v>33000000</v>
      </c>
      <c r="C72" s="4">
        <f>+[7]Ppto!$Y$129</f>
        <v>2750000</v>
      </c>
      <c r="D72" s="4">
        <v>1880570</v>
      </c>
      <c r="E72" s="4">
        <f t="shared" si="38"/>
        <v>869430</v>
      </c>
      <c r="F72" s="4">
        <f>+'202501anual'!D153</f>
        <v>2750000</v>
      </c>
      <c r="G72" s="4">
        <f>+'202501anual'!Q153</f>
        <v>2071066</v>
      </c>
      <c r="H72" s="4">
        <f t="shared" si="39"/>
        <v>678934</v>
      </c>
      <c r="I72" s="4">
        <f>+'202501anual'!E153</f>
        <v>2750000</v>
      </c>
      <c r="J72" s="4">
        <v>1948456</v>
      </c>
      <c r="K72" s="4">
        <f t="shared" si="64"/>
        <v>801544</v>
      </c>
      <c r="L72" s="4">
        <f>+'202501anual'!F153</f>
        <v>2750000</v>
      </c>
      <c r="M72" s="77">
        <v>0</v>
      </c>
      <c r="N72" s="4">
        <f t="shared" si="65"/>
        <v>2750000</v>
      </c>
      <c r="O72" s="4">
        <f>+'202501anual'!G153</f>
        <v>2750000</v>
      </c>
      <c r="P72" s="4">
        <f>+'202501anual'!T153</f>
        <v>1480856</v>
      </c>
      <c r="Q72" s="4">
        <f t="shared" si="66"/>
        <v>1269144</v>
      </c>
      <c r="R72" s="4">
        <f>+'202501anual'!H153</f>
        <v>2750000</v>
      </c>
      <c r="S72" s="4">
        <v>2033151</v>
      </c>
      <c r="T72" s="4">
        <f t="shared" si="73"/>
        <v>716849</v>
      </c>
      <c r="U72" s="4">
        <f>+'202501anual'!I153</f>
        <v>2750000</v>
      </c>
      <c r="V72" s="4">
        <f>+'202501anual'!V153</f>
        <v>1855713</v>
      </c>
      <c r="W72" s="4">
        <f>+U72-V72</f>
        <v>894287</v>
      </c>
      <c r="X72" s="127"/>
      <c r="Y72" s="4"/>
      <c r="Z72" s="4"/>
      <c r="AA72" s="77"/>
      <c r="AB72" s="4"/>
      <c r="AC72" s="4">
        <f t="shared" si="67"/>
        <v>0</v>
      </c>
      <c r="AD72" s="77"/>
      <c r="AE72" s="4"/>
      <c r="AF72" s="4">
        <f t="shared" si="46"/>
        <v>0</v>
      </c>
      <c r="AG72" s="77"/>
      <c r="AH72" s="4"/>
      <c r="AI72" s="4">
        <f t="shared" si="47"/>
        <v>0</v>
      </c>
      <c r="AJ72" s="77"/>
      <c r="AK72" s="4"/>
      <c r="AL72" s="4">
        <f t="shared" si="48"/>
        <v>0</v>
      </c>
      <c r="AM72" s="4">
        <f t="shared" si="68"/>
        <v>19250000</v>
      </c>
      <c r="AN72" s="4">
        <f t="shared" si="69"/>
        <v>11269812</v>
      </c>
      <c r="AO72" s="4">
        <f t="shared" si="70"/>
        <v>7980188</v>
      </c>
      <c r="AP72" s="43">
        <f t="shared" si="71"/>
        <v>41.455522077922083</v>
      </c>
      <c r="AQ72" s="34"/>
      <c r="AR72" s="38"/>
      <c r="AS72" s="2"/>
      <c r="AY72" s="2"/>
      <c r="AZ72" s="2">
        <f t="shared" si="28"/>
        <v>0</v>
      </c>
    </row>
    <row r="73" spans="1:52" x14ac:dyDescent="0.25">
      <c r="A73" s="5" t="s">
        <v>222</v>
      </c>
      <c r="B73" s="4">
        <f>+[13]EjecucionPptalPasiva!$D$92+[13]EjecucionPptalPasiva!$D$118</f>
        <v>16830000</v>
      </c>
      <c r="C73" s="4">
        <f>+[7]Ppto!$Y$84</f>
        <v>1400000</v>
      </c>
      <c r="D73" s="4">
        <v>0</v>
      </c>
      <c r="E73" s="4">
        <f t="shared" si="38"/>
        <v>1400000</v>
      </c>
      <c r="F73" s="4">
        <f>+'202501anual'!D155</f>
        <v>1400000</v>
      </c>
      <c r="G73" s="4">
        <f>+'202501anual'!Q155</f>
        <v>0</v>
      </c>
      <c r="H73" s="4">
        <f t="shared" si="39"/>
        <v>1400000</v>
      </c>
      <c r="I73" s="4">
        <f>+'202501anual'!E155</f>
        <v>1400000</v>
      </c>
      <c r="J73" s="4">
        <v>0</v>
      </c>
      <c r="K73" s="4">
        <f t="shared" si="64"/>
        <v>1400000</v>
      </c>
      <c r="L73" s="4">
        <f>+'202501anual'!F155</f>
        <v>1430000</v>
      </c>
      <c r="M73" s="77">
        <v>0</v>
      </c>
      <c r="N73" s="4">
        <f t="shared" si="65"/>
        <v>1430000</v>
      </c>
      <c r="O73" s="4">
        <f>+'202501anual'!G155+'202501anual'!G154</f>
        <v>5400000</v>
      </c>
      <c r="P73" s="4">
        <v>0</v>
      </c>
      <c r="Q73" s="4">
        <f t="shared" si="66"/>
        <v>5400000</v>
      </c>
      <c r="R73" s="4">
        <f>+'202501anual'!H155+'202501anual'!H154</f>
        <v>1400000</v>
      </c>
      <c r="S73" s="4">
        <v>0</v>
      </c>
      <c r="T73" s="4">
        <f t="shared" si="73"/>
        <v>1400000</v>
      </c>
      <c r="U73" s="4">
        <f>+'202501anual'!I155+'202501anual'!I154</f>
        <v>1400000</v>
      </c>
      <c r="V73" s="4">
        <v>0</v>
      </c>
      <c r="W73" s="4">
        <f>+U73-V73</f>
        <v>1400000</v>
      </c>
      <c r="X73" s="127"/>
      <c r="Y73" s="4"/>
      <c r="Z73" s="4"/>
      <c r="AA73" s="4"/>
      <c r="AB73" s="4"/>
      <c r="AC73" s="4">
        <f t="shared" si="67"/>
        <v>0</v>
      </c>
      <c r="AD73" s="4"/>
      <c r="AE73" s="4"/>
      <c r="AF73" s="4">
        <f t="shared" si="46"/>
        <v>0</v>
      </c>
      <c r="AG73" s="4"/>
      <c r="AH73" s="4"/>
      <c r="AI73" s="4">
        <f t="shared" si="47"/>
        <v>0</v>
      </c>
      <c r="AJ73" s="4"/>
      <c r="AK73" s="4"/>
      <c r="AL73" s="4">
        <f t="shared" si="48"/>
        <v>0</v>
      </c>
      <c r="AM73" s="4">
        <f t="shared" si="68"/>
        <v>13830000</v>
      </c>
      <c r="AN73" s="4">
        <f t="shared" si="69"/>
        <v>0</v>
      </c>
      <c r="AO73" s="4">
        <f t="shared" si="70"/>
        <v>13830000</v>
      </c>
      <c r="AP73" s="43">
        <f t="shared" si="71"/>
        <v>100</v>
      </c>
      <c r="AQ73" s="34"/>
      <c r="AR73" s="38"/>
      <c r="AS73" s="2"/>
      <c r="AY73" s="2"/>
      <c r="AZ73" s="2">
        <f t="shared" si="28"/>
        <v>0</v>
      </c>
    </row>
    <row r="74" spans="1:52" ht="15" customHeight="1" x14ac:dyDescent="0.25">
      <c r="A74" s="5" t="s">
        <v>197</v>
      </c>
      <c r="B74" s="4">
        <f>+[13]EjecucionPptalPasiva!$D$346+[13]EjecucionPptalPasiva!$D$97</f>
        <v>13485000</v>
      </c>
      <c r="C74" s="4">
        <f>+[7]Ppto!$Y$97*14.5/100</f>
        <v>870000</v>
      </c>
      <c r="D74" s="4">
        <v>2041763</v>
      </c>
      <c r="E74" s="4">
        <f t="shared" si="38"/>
        <v>-1171763</v>
      </c>
      <c r="F74" s="4">
        <f>+'202501anual'!D157</f>
        <v>870000</v>
      </c>
      <c r="G74" s="4">
        <f>+'202501anual'!Q157</f>
        <v>1962130</v>
      </c>
      <c r="H74" s="4">
        <f t="shared" si="39"/>
        <v>-1092130</v>
      </c>
      <c r="I74" s="4">
        <f>+'202501anual'!E157</f>
        <v>870000</v>
      </c>
      <c r="J74" s="4">
        <f>+[28]EjecucionPptalPasiva!$Q$57</f>
        <v>295495</v>
      </c>
      <c r="K74" s="4">
        <f t="shared" si="64"/>
        <v>574505</v>
      </c>
      <c r="L74" s="4">
        <f>+'202501anual'!F157</f>
        <v>870000</v>
      </c>
      <c r="M74" s="77">
        <f>646190+510000</f>
        <v>1156190</v>
      </c>
      <c r="N74" s="4">
        <f t="shared" si="65"/>
        <v>-286190</v>
      </c>
      <c r="O74" s="4">
        <f>+'202501anual'!G157</f>
        <v>870000</v>
      </c>
      <c r="P74" s="4">
        <f>+'202501anual'!T157</f>
        <v>940476</v>
      </c>
      <c r="Q74" s="4">
        <f t="shared" si="66"/>
        <v>-70476</v>
      </c>
      <c r="R74" s="4">
        <f>+'202501anual'!H157</f>
        <v>870000</v>
      </c>
      <c r="S74" s="4">
        <v>1411050</v>
      </c>
      <c r="T74" s="4">
        <f t="shared" si="73"/>
        <v>-541050</v>
      </c>
      <c r="U74" s="4">
        <f>+'202501anual'!I157</f>
        <v>870000</v>
      </c>
      <c r="V74" s="4">
        <f>+'202501anual'!V157</f>
        <v>267183</v>
      </c>
      <c r="W74" s="4">
        <f>+U74-V74</f>
        <v>602817</v>
      </c>
      <c r="X74" s="127"/>
      <c r="Y74" s="4"/>
      <c r="Z74" s="4"/>
      <c r="AA74" s="4"/>
      <c r="AB74" s="4"/>
      <c r="AC74" s="4">
        <f t="shared" si="67"/>
        <v>0</v>
      </c>
      <c r="AD74" s="4"/>
      <c r="AE74" s="4"/>
      <c r="AF74" s="4">
        <f t="shared" si="46"/>
        <v>0</v>
      </c>
      <c r="AG74" s="4"/>
      <c r="AH74" s="4"/>
      <c r="AI74" s="4">
        <f t="shared" si="47"/>
        <v>0</v>
      </c>
      <c r="AJ74" s="4"/>
      <c r="AK74" s="4"/>
      <c r="AL74" s="4">
        <f t="shared" si="48"/>
        <v>0</v>
      </c>
      <c r="AM74" s="4">
        <f t="shared" si="68"/>
        <v>6090000</v>
      </c>
      <c r="AN74" s="4">
        <f t="shared" si="69"/>
        <v>8074287</v>
      </c>
      <c r="AO74" s="4">
        <f t="shared" si="70"/>
        <v>-1984287</v>
      </c>
      <c r="AP74" s="43">
        <f t="shared" si="71"/>
        <v>-32.582709359605907</v>
      </c>
      <c r="AQ74" s="34"/>
      <c r="AR74" s="38"/>
      <c r="AS74" s="2"/>
      <c r="AY74" s="2"/>
      <c r="AZ74" s="2">
        <f t="shared" si="28"/>
        <v>0</v>
      </c>
    </row>
    <row r="75" spans="1:52" ht="15" customHeight="1" x14ac:dyDescent="0.25">
      <c r="A75" s="5" t="s">
        <v>83</v>
      </c>
      <c r="B75" s="4">
        <f>+[13]EjecucionPptalPasiva!$D$102</f>
        <v>1200000</v>
      </c>
      <c r="C75" s="4">
        <f>+[7]Ppto!$Y$88</f>
        <v>100000</v>
      </c>
      <c r="D75" s="4">
        <v>0</v>
      </c>
      <c r="E75" s="4">
        <f t="shared" si="38"/>
        <v>100000</v>
      </c>
      <c r="F75" s="4">
        <f>+'202501anual'!D158</f>
        <v>100000</v>
      </c>
      <c r="G75" s="4">
        <f>+'202501anual'!Q158</f>
        <v>0</v>
      </c>
      <c r="H75" s="4">
        <f t="shared" si="39"/>
        <v>100000</v>
      </c>
      <c r="I75" s="4">
        <f>+'202501anual'!E158</f>
        <v>100000</v>
      </c>
      <c r="J75" s="4">
        <v>0</v>
      </c>
      <c r="K75" s="4">
        <f t="shared" si="64"/>
        <v>100000</v>
      </c>
      <c r="L75" s="4">
        <f>+'202501anual'!F158</f>
        <v>100000</v>
      </c>
      <c r="M75" s="77">
        <v>0</v>
      </c>
      <c r="N75" s="4">
        <f t="shared" si="65"/>
        <v>100000</v>
      </c>
      <c r="O75" s="4">
        <f>+'202501anual'!G158</f>
        <v>100000</v>
      </c>
      <c r="P75" s="4">
        <v>0</v>
      </c>
      <c r="Q75" s="4">
        <f t="shared" si="66"/>
        <v>100000</v>
      </c>
      <c r="R75" s="4">
        <f>+'202501anual'!H158</f>
        <v>100000</v>
      </c>
      <c r="S75" s="4">
        <v>350000</v>
      </c>
      <c r="T75" s="4">
        <f t="shared" si="73"/>
        <v>-250000</v>
      </c>
      <c r="U75" s="4">
        <f>+'202501anual'!I158</f>
        <v>100000</v>
      </c>
      <c r="V75" s="4">
        <v>0</v>
      </c>
      <c r="W75" s="4">
        <f>+U75-V75</f>
        <v>100000</v>
      </c>
      <c r="X75" s="127"/>
      <c r="Y75" s="4"/>
      <c r="Z75" s="4"/>
      <c r="AA75" s="4"/>
      <c r="AB75" s="4"/>
      <c r="AC75" s="4">
        <f t="shared" si="67"/>
        <v>0</v>
      </c>
      <c r="AD75" s="4"/>
      <c r="AE75" s="4"/>
      <c r="AF75" s="4">
        <f t="shared" si="46"/>
        <v>0</v>
      </c>
      <c r="AG75" s="4"/>
      <c r="AH75" s="4"/>
      <c r="AI75" s="4">
        <f t="shared" si="47"/>
        <v>0</v>
      </c>
      <c r="AJ75" s="4"/>
      <c r="AK75" s="4"/>
      <c r="AL75" s="4">
        <f t="shared" si="48"/>
        <v>0</v>
      </c>
      <c r="AM75" s="4">
        <f t="shared" si="68"/>
        <v>700000</v>
      </c>
      <c r="AN75" s="4">
        <f t="shared" si="69"/>
        <v>350000</v>
      </c>
      <c r="AO75" s="4">
        <f t="shared" si="70"/>
        <v>350000</v>
      </c>
      <c r="AP75" s="43">
        <f t="shared" si="71"/>
        <v>50</v>
      </c>
      <c r="AQ75" s="34"/>
      <c r="AR75" s="36"/>
      <c r="AS75" s="2"/>
      <c r="AY75" s="2"/>
      <c r="AZ75" s="2">
        <f t="shared" si="28"/>
        <v>0</v>
      </c>
    </row>
    <row r="76" spans="1:52" ht="15" customHeight="1" x14ac:dyDescent="0.25">
      <c r="A76" s="5" t="s">
        <v>56</v>
      </c>
      <c r="B76" s="4">
        <f>+[13]EjecucionPptalPasiva!$D$304</f>
        <v>30000000</v>
      </c>
      <c r="C76" s="4">
        <f>+[7]Ppto!$Y$130</f>
        <v>2500000</v>
      </c>
      <c r="D76" s="4">
        <v>0</v>
      </c>
      <c r="E76" s="4">
        <f t="shared" si="38"/>
        <v>2500000</v>
      </c>
      <c r="F76" s="4">
        <f>+'202501anual'!D159</f>
        <v>2500000</v>
      </c>
      <c r="G76" s="4">
        <f>+'202501anual'!Q159</f>
        <v>0</v>
      </c>
      <c r="H76" s="4">
        <f t="shared" si="39"/>
        <v>2500000</v>
      </c>
      <c r="I76" s="4">
        <f>+'202501anual'!E159</f>
        <v>2500000</v>
      </c>
      <c r="J76" s="4">
        <v>22794000</v>
      </c>
      <c r="K76" s="4">
        <f t="shared" si="64"/>
        <v>-20294000</v>
      </c>
      <c r="L76" s="4">
        <f>+'202501anual'!F159</f>
        <v>2500000</v>
      </c>
      <c r="M76" s="77"/>
      <c r="N76" s="4">
        <f t="shared" si="65"/>
        <v>2500000</v>
      </c>
      <c r="O76" s="4">
        <f>+'202501anual'!G159</f>
        <v>2500000</v>
      </c>
      <c r="P76" s="4">
        <v>0</v>
      </c>
      <c r="Q76" s="4">
        <f t="shared" si="66"/>
        <v>2500000</v>
      </c>
      <c r="R76" s="4">
        <f>+'202501anual'!H159</f>
        <v>2500000</v>
      </c>
      <c r="S76" s="4">
        <v>0</v>
      </c>
      <c r="T76" s="4">
        <f t="shared" si="73"/>
        <v>2500000</v>
      </c>
      <c r="U76" s="4">
        <f>+'202501anual'!I159</f>
        <v>2500000</v>
      </c>
      <c r="V76" s="4">
        <v>0</v>
      </c>
      <c r="W76" s="4">
        <f>+U76-V76</f>
        <v>2500000</v>
      </c>
      <c r="X76" s="127"/>
      <c r="Y76" s="4"/>
      <c r="Z76" s="4"/>
      <c r="AA76" s="4"/>
      <c r="AB76" s="4"/>
      <c r="AC76" s="4">
        <f t="shared" si="67"/>
        <v>0</v>
      </c>
      <c r="AD76" s="4"/>
      <c r="AE76" s="4"/>
      <c r="AF76" s="4">
        <f t="shared" si="46"/>
        <v>0</v>
      </c>
      <c r="AG76" s="4"/>
      <c r="AH76" s="4"/>
      <c r="AI76" s="4">
        <f t="shared" si="47"/>
        <v>0</v>
      </c>
      <c r="AJ76" s="4"/>
      <c r="AK76" s="4"/>
      <c r="AL76" s="4">
        <f t="shared" si="48"/>
        <v>0</v>
      </c>
      <c r="AM76" s="4">
        <f t="shared" si="68"/>
        <v>17500000</v>
      </c>
      <c r="AN76" s="4">
        <f t="shared" si="69"/>
        <v>22794000</v>
      </c>
      <c r="AO76" s="4">
        <f t="shared" si="70"/>
        <v>-5294000</v>
      </c>
      <c r="AP76" s="43">
        <f t="shared" si="71"/>
        <v>-30.251428571428573</v>
      </c>
      <c r="AQ76" s="34"/>
      <c r="AR76" s="38"/>
      <c r="AS76" s="2"/>
      <c r="AY76" s="2"/>
      <c r="AZ76" s="2">
        <f t="shared" si="28"/>
        <v>0</v>
      </c>
    </row>
    <row r="77" spans="1:52" ht="15" customHeight="1" x14ac:dyDescent="0.25">
      <c r="A77" s="5" t="s">
        <v>38</v>
      </c>
      <c r="B77" s="4">
        <f>+[13]EjecucionPptalPasiva!$D$117</f>
        <v>35212500</v>
      </c>
      <c r="C77" s="4">
        <f>+[7]Ppto!$Y$11</f>
        <v>2295000</v>
      </c>
      <c r="D77" s="4">
        <v>1695750</v>
      </c>
      <c r="E77" s="4">
        <f t="shared" si="38"/>
        <v>599250</v>
      </c>
      <c r="F77" s="4">
        <f>+'202501anual'!D160</f>
        <v>2992500</v>
      </c>
      <c r="G77" s="4">
        <f>+'202501anual'!Q160</f>
        <v>2992500</v>
      </c>
      <c r="H77" s="4">
        <f t="shared" si="39"/>
        <v>0</v>
      </c>
      <c r="I77" s="4">
        <f>+'202501anual'!E160</f>
        <v>2992500</v>
      </c>
      <c r="J77" s="4">
        <f>+[28]EjecucionPptalPasiva!$Q$77</f>
        <v>2992500</v>
      </c>
      <c r="K77" s="4">
        <f t="shared" si="64"/>
        <v>0</v>
      </c>
      <c r="L77" s="4">
        <f>+'202501anual'!F160</f>
        <v>2992500</v>
      </c>
      <c r="M77" s="77">
        <v>2992500</v>
      </c>
      <c r="N77" s="4">
        <f t="shared" si="65"/>
        <v>0</v>
      </c>
      <c r="O77" s="4">
        <f>+'202501anual'!G160</f>
        <v>2992500</v>
      </c>
      <c r="P77" s="4">
        <f>+'202501anual'!T160</f>
        <v>2992500</v>
      </c>
      <c r="Q77" s="4">
        <f t="shared" si="66"/>
        <v>0</v>
      </c>
      <c r="R77" s="4">
        <f>+'202501anual'!H160</f>
        <v>2992500</v>
      </c>
      <c r="S77" s="4">
        <v>2992500</v>
      </c>
      <c r="T77" s="4">
        <f t="shared" si="73"/>
        <v>0</v>
      </c>
      <c r="U77" s="4">
        <f>+'202501anual'!I160</f>
        <v>2992500</v>
      </c>
      <c r="V77" s="4">
        <f>+'202501anual'!V160</f>
        <v>2992500</v>
      </c>
      <c r="W77" s="4">
        <f>+U77-V77</f>
        <v>0</v>
      </c>
      <c r="X77" s="127"/>
      <c r="Y77" s="4"/>
      <c r="Z77" s="4"/>
      <c r="AA77" s="4"/>
      <c r="AB77" s="4"/>
      <c r="AC77" s="4">
        <f t="shared" si="67"/>
        <v>0</v>
      </c>
      <c r="AD77" s="4"/>
      <c r="AE77" s="4"/>
      <c r="AF77" s="4">
        <f t="shared" si="46"/>
        <v>0</v>
      </c>
      <c r="AG77" s="4"/>
      <c r="AH77" s="4"/>
      <c r="AI77" s="4">
        <f t="shared" si="47"/>
        <v>0</v>
      </c>
      <c r="AJ77" s="4"/>
      <c r="AK77" s="4"/>
      <c r="AL77" s="4">
        <f t="shared" si="48"/>
        <v>0</v>
      </c>
      <c r="AM77" s="4">
        <f t="shared" si="68"/>
        <v>20250000</v>
      </c>
      <c r="AN77" s="4">
        <f t="shared" si="69"/>
        <v>19650750</v>
      </c>
      <c r="AO77" s="4">
        <f t="shared" si="70"/>
        <v>599250</v>
      </c>
      <c r="AP77" s="43">
        <f t="shared" si="71"/>
        <v>2.9592592592592593</v>
      </c>
      <c r="AQ77" s="34"/>
      <c r="AR77" s="36"/>
      <c r="AS77" s="2"/>
      <c r="AY77" s="2"/>
      <c r="AZ77" s="2">
        <f t="shared" ref="AZ77:AZ91" si="75">+AM77-AN77-AO77</f>
        <v>0</v>
      </c>
    </row>
    <row r="78" spans="1:52" ht="15" customHeight="1" x14ac:dyDescent="0.25">
      <c r="A78" s="5" t="s">
        <v>223</v>
      </c>
      <c r="B78" s="4">
        <f>+[13]EjecucionPptalPasiva!$D$113</f>
        <v>30000000</v>
      </c>
      <c r="C78" s="4">
        <f>+[7]Ppto!$Y$14</f>
        <v>2500000</v>
      </c>
      <c r="D78" s="4">
        <v>0</v>
      </c>
      <c r="E78" s="4">
        <f t="shared" si="38"/>
        <v>2500000</v>
      </c>
      <c r="F78" s="4">
        <f>+'202501anual'!D118</f>
        <v>2500000</v>
      </c>
      <c r="G78" s="4"/>
      <c r="H78" s="4">
        <f t="shared" si="39"/>
        <v>2500000</v>
      </c>
      <c r="I78" s="4">
        <f>+'202501anual'!E118</f>
        <v>2500000</v>
      </c>
      <c r="J78" s="4">
        <v>0</v>
      </c>
      <c r="K78" s="4">
        <f t="shared" si="64"/>
        <v>2500000</v>
      </c>
      <c r="L78" s="4">
        <f>+'202501anual'!F118</f>
        <v>2500000</v>
      </c>
      <c r="M78" s="77">
        <v>0</v>
      </c>
      <c r="N78" s="4">
        <f t="shared" si="65"/>
        <v>2500000</v>
      </c>
      <c r="O78" s="4">
        <f>+'202501anual'!G118</f>
        <v>2500000</v>
      </c>
      <c r="P78" s="4">
        <v>0</v>
      </c>
      <c r="Q78" s="4">
        <f t="shared" si="66"/>
        <v>2500000</v>
      </c>
      <c r="R78" s="4">
        <f>+'202501anual'!H118</f>
        <v>2500000</v>
      </c>
      <c r="S78" s="4">
        <v>0</v>
      </c>
      <c r="T78" s="4">
        <f t="shared" si="73"/>
        <v>2500000</v>
      </c>
      <c r="U78" s="4">
        <f>+'202501anual'!I118</f>
        <v>2500000</v>
      </c>
      <c r="V78" s="4">
        <v>0</v>
      </c>
      <c r="W78" s="4">
        <f>+U78-V78</f>
        <v>2500000</v>
      </c>
      <c r="X78" s="77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>
        <f t="shared" si="68"/>
        <v>17500000</v>
      </c>
      <c r="AN78" s="4">
        <f t="shared" si="69"/>
        <v>0</v>
      </c>
      <c r="AO78" s="4">
        <f t="shared" si="70"/>
        <v>17500000</v>
      </c>
      <c r="AP78" s="43">
        <f t="shared" si="71"/>
        <v>100</v>
      </c>
      <c r="AQ78" s="34"/>
      <c r="AR78" s="38"/>
      <c r="AS78" s="2"/>
      <c r="AY78" s="2"/>
      <c r="AZ78" s="2">
        <f t="shared" si="75"/>
        <v>0</v>
      </c>
    </row>
    <row r="79" spans="1:52" ht="15" customHeight="1" x14ac:dyDescent="0.25">
      <c r="A79" s="5" t="s">
        <v>39</v>
      </c>
      <c r="B79" s="4">
        <f>+[13]EjecucionPptalPasiva!$D$114</f>
        <v>206978054</v>
      </c>
      <c r="C79" s="4">
        <f>+[7]Ppto!$Y$18</f>
        <v>17248171.199999999</v>
      </c>
      <c r="D79" s="4">
        <v>17248171</v>
      </c>
      <c r="E79" s="4">
        <f t="shared" si="38"/>
        <v>0.19999999925494194</v>
      </c>
      <c r="F79" s="4">
        <f>+'202501anual'!D161</f>
        <v>17248171.199999999</v>
      </c>
      <c r="G79" s="4">
        <f>+'202501anual'!Q161</f>
        <v>17248171</v>
      </c>
      <c r="H79" s="4">
        <f t="shared" si="39"/>
        <v>0.19999999925494194</v>
      </c>
      <c r="I79" s="4">
        <f>+'202501anual'!E161</f>
        <v>17248171.199999999</v>
      </c>
      <c r="J79" s="4">
        <f>+[28]EjecucionPptalPasiva!$Q$74</f>
        <v>17248171</v>
      </c>
      <c r="K79" s="4">
        <f t="shared" si="64"/>
        <v>0.19999999925494194</v>
      </c>
      <c r="L79" s="4">
        <f>+'202501anual'!F161</f>
        <v>17248171.199999999</v>
      </c>
      <c r="M79" s="77">
        <v>17248171</v>
      </c>
      <c r="N79" s="4">
        <f t="shared" si="65"/>
        <v>0.19999999925494194</v>
      </c>
      <c r="O79" s="4">
        <f>+'202501anual'!G161</f>
        <v>17248171.199999999</v>
      </c>
      <c r="P79" s="4">
        <f>+'202501anual'!T161</f>
        <v>17248171</v>
      </c>
      <c r="Q79" s="4">
        <f t="shared" si="66"/>
        <v>0.19999999925494194</v>
      </c>
      <c r="R79" s="4">
        <f>+'202501anual'!H161</f>
        <v>17248171.199999999</v>
      </c>
      <c r="S79" s="4">
        <v>17248171</v>
      </c>
      <c r="T79" s="4">
        <f>+R79-S79</f>
        <v>0.19999999925494194</v>
      </c>
      <c r="U79" s="4">
        <f>+'202501anual'!I161</f>
        <v>17248171.199999999</v>
      </c>
      <c r="V79" s="4">
        <f>+'202501anual'!V161</f>
        <v>17248171</v>
      </c>
      <c r="W79" s="4">
        <f>+U79-V79</f>
        <v>0.19999999925494194</v>
      </c>
      <c r="X79" s="127"/>
      <c r="Y79" s="4"/>
      <c r="Z79" s="4"/>
      <c r="AA79" s="4"/>
      <c r="AB79" s="4"/>
      <c r="AC79" s="4">
        <f t="shared" si="67"/>
        <v>0</v>
      </c>
      <c r="AD79" s="4"/>
      <c r="AE79" s="4"/>
      <c r="AF79" s="4">
        <f t="shared" si="46"/>
        <v>0</v>
      </c>
      <c r="AG79" s="4"/>
      <c r="AH79" s="4"/>
      <c r="AI79" s="4">
        <f t="shared" si="47"/>
        <v>0</v>
      </c>
      <c r="AJ79" s="4"/>
      <c r="AK79" s="4"/>
      <c r="AL79" s="4">
        <f t="shared" si="48"/>
        <v>0</v>
      </c>
      <c r="AM79" s="4">
        <f t="shared" si="68"/>
        <v>120737198.40000001</v>
      </c>
      <c r="AN79" s="4">
        <f t="shared" si="69"/>
        <v>120737197</v>
      </c>
      <c r="AO79" s="4">
        <f t="shared" si="70"/>
        <v>1.4000000059604645</v>
      </c>
      <c r="AP79" s="43">
        <f t="shared" si="71"/>
        <v>1.1595432265392571E-6</v>
      </c>
      <c r="AQ79" s="34"/>
      <c r="AR79" s="36"/>
      <c r="AS79" s="2"/>
      <c r="AY79" s="2"/>
      <c r="AZ79" s="2">
        <f t="shared" si="75"/>
        <v>0</v>
      </c>
    </row>
    <row r="80" spans="1:52" ht="15" customHeight="1" x14ac:dyDescent="0.25">
      <c r="A80" s="12" t="s">
        <v>166</v>
      </c>
      <c r="B80" s="8">
        <f>SUM(B46:B79)</f>
        <v>1370968607</v>
      </c>
      <c r="C80" s="8">
        <f>SUM(C46:C79)</f>
        <v>98358665.626666665</v>
      </c>
      <c r="D80" s="8">
        <f t="shared" ref="D80:U80" si="76">SUM(D46:D79)</f>
        <v>63830439.009999998</v>
      </c>
      <c r="E80" s="8">
        <f t="shared" si="76"/>
        <v>34528226.61666666</v>
      </c>
      <c r="F80" s="8">
        <f t="shared" si="76"/>
        <v>127918565.6218596</v>
      </c>
      <c r="G80" s="8">
        <f t="shared" si="76"/>
        <v>87816294.49000001</v>
      </c>
      <c r="H80" s="8">
        <f t="shared" si="76"/>
        <v>40102271.131859601</v>
      </c>
      <c r="I80" s="8">
        <f t="shared" ref="I80" si="77">SUM(I46:I79)</f>
        <v>127798565.6218596</v>
      </c>
      <c r="J80" s="8">
        <f t="shared" si="76"/>
        <v>112346142.5906</v>
      </c>
      <c r="K80" s="8">
        <f t="shared" si="76"/>
        <v>15452423.031259604</v>
      </c>
      <c r="L80" s="8">
        <f t="shared" si="76"/>
        <v>163892565.62185958</v>
      </c>
      <c r="M80" s="8">
        <f t="shared" si="76"/>
        <v>102472632</v>
      </c>
      <c r="N80" s="8">
        <f>SUM(N46:N79)</f>
        <v>61419933.621859595</v>
      </c>
      <c r="O80" s="8">
        <f t="shared" ref="O80" si="78">SUM(O46:O79)</f>
        <v>142922965.62185958</v>
      </c>
      <c r="P80" s="8">
        <f t="shared" si="76"/>
        <v>85925524</v>
      </c>
      <c r="Q80" s="8">
        <f t="shared" si="76"/>
        <v>56997441.621859595</v>
      </c>
      <c r="R80" s="8">
        <f t="shared" si="76"/>
        <v>132912565.6218596</v>
      </c>
      <c r="S80" s="8">
        <f t="shared" si="76"/>
        <v>103068633.6769692</v>
      </c>
      <c r="T80" s="8">
        <f t="shared" si="76"/>
        <v>29843931.944890399</v>
      </c>
      <c r="U80" s="8">
        <f t="shared" si="76"/>
        <v>123812565.6218596</v>
      </c>
      <c r="V80" s="8">
        <f t="shared" ref="V80:AO80" si="79">SUM(V46:V79)</f>
        <v>145337879</v>
      </c>
      <c r="W80" s="8">
        <f>SUM(W46:W79)</f>
        <v>-21525313.378140401</v>
      </c>
      <c r="X80" s="8">
        <f>SUM(X46:X79)</f>
        <v>0</v>
      </c>
      <c r="Y80" s="8">
        <f t="shared" si="79"/>
        <v>0</v>
      </c>
      <c r="Z80" s="8">
        <f t="shared" si="79"/>
        <v>0</v>
      </c>
      <c r="AA80" s="8">
        <f t="shared" si="79"/>
        <v>0</v>
      </c>
      <c r="AB80" s="8">
        <f t="shared" si="79"/>
        <v>0</v>
      </c>
      <c r="AC80" s="8">
        <f t="shared" si="79"/>
        <v>0</v>
      </c>
      <c r="AD80" s="8">
        <f t="shared" si="79"/>
        <v>0</v>
      </c>
      <c r="AE80" s="8">
        <f t="shared" si="79"/>
        <v>0</v>
      </c>
      <c r="AF80" s="8">
        <f t="shared" si="79"/>
        <v>0</v>
      </c>
      <c r="AG80" s="8">
        <f t="shared" si="79"/>
        <v>0</v>
      </c>
      <c r="AH80" s="8">
        <f t="shared" si="79"/>
        <v>0</v>
      </c>
      <c r="AI80" s="8">
        <f t="shared" si="79"/>
        <v>0</v>
      </c>
      <c r="AJ80" s="8">
        <f t="shared" ref="AJ80" si="80">SUM(AJ46:AJ79)</f>
        <v>0</v>
      </c>
      <c r="AK80" s="8">
        <f t="shared" si="79"/>
        <v>0</v>
      </c>
      <c r="AL80" s="8">
        <f t="shared" si="79"/>
        <v>0</v>
      </c>
      <c r="AM80" s="8">
        <f t="shared" si="79"/>
        <v>917616459.35782421</v>
      </c>
      <c r="AN80" s="8">
        <f t="shared" si="79"/>
        <v>700797544.76756918</v>
      </c>
      <c r="AO80" s="8">
        <f>SUM(AO46:AO79)</f>
        <v>216818914.59025505</v>
      </c>
      <c r="AP80" s="31">
        <f>+AO80/AM80</f>
        <v>0.23628490136499022</v>
      </c>
      <c r="AQ80" s="34"/>
      <c r="AR80" s="50">
        <f>W80/U80*100</f>
        <v>-17.385402903192908</v>
      </c>
      <c r="AS80" s="2"/>
      <c r="AY80" s="2"/>
      <c r="AZ80" s="2">
        <f t="shared" si="75"/>
        <v>0</v>
      </c>
    </row>
    <row r="81" spans="1:52" hidden="1" x14ac:dyDescent="0.25">
      <c r="A81" s="5" t="str">
        <f>+'202501anual'!A143</f>
        <v>Limpieza de cuencas</v>
      </c>
      <c r="B81" s="4">
        <v>8000000</v>
      </c>
      <c r="C81" s="4">
        <v>0</v>
      </c>
      <c r="D81" s="4">
        <v>0</v>
      </c>
      <c r="E81" s="4">
        <f t="shared" si="38"/>
        <v>0</v>
      </c>
      <c r="F81" s="4">
        <v>0</v>
      </c>
      <c r="G81" s="4">
        <v>0</v>
      </c>
      <c r="H81" s="4">
        <f t="shared" si="39"/>
        <v>0</v>
      </c>
      <c r="I81" s="4">
        <v>0</v>
      </c>
      <c r="J81" s="4">
        <v>0</v>
      </c>
      <c r="K81" s="4">
        <f t="shared" si="64"/>
        <v>0</v>
      </c>
      <c r="L81" s="4">
        <v>0</v>
      </c>
      <c r="M81" s="4"/>
      <c r="N81" s="4">
        <f t="shared" si="65"/>
        <v>0</v>
      </c>
      <c r="O81" s="4">
        <v>0</v>
      </c>
      <c r="P81" s="4">
        <v>0</v>
      </c>
      <c r="Q81" s="4">
        <f t="shared" si="66"/>
        <v>0</v>
      </c>
      <c r="R81" s="4">
        <f>+'202501anual'!H143</f>
        <v>0</v>
      </c>
      <c r="S81" s="4">
        <v>0</v>
      </c>
      <c r="T81" s="4">
        <f t="shared" ref="T81:T86" si="81">+R81-S81</f>
        <v>0</v>
      </c>
      <c r="U81" s="4">
        <v>0</v>
      </c>
      <c r="V81" s="4">
        <v>0</v>
      </c>
      <c r="W81" s="4">
        <f t="shared" si="74"/>
        <v>0</v>
      </c>
      <c r="X81" s="77">
        <f t="shared" ref="X46:X87" si="82">+U81</f>
        <v>0</v>
      </c>
      <c r="Y81" s="4"/>
      <c r="Z81" s="4">
        <f t="shared" ref="Z81:Z87" si="83">+X81-Y81</f>
        <v>0</v>
      </c>
      <c r="AA81" s="4">
        <v>0</v>
      </c>
      <c r="AB81" s="4"/>
      <c r="AC81" s="4">
        <f t="shared" si="67"/>
        <v>0</v>
      </c>
      <c r="AD81" s="4"/>
      <c r="AE81" s="4"/>
      <c r="AF81" s="4">
        <f t="shared" si="46"/>
        <v>0</v>
      </c>
      <c r="AG81" s="4"/>
      <c r="AH81" s="4"/>
      <c r="AI81" s="4">
        <f t="shared" si="47"/>
        <v>0</v>
      </c>
      <c r="AJ81" s="4">
        <v>0</v>
      </c>
      <c r="AK81" s="4"/>
      <c r="AL81" s="4">
        <f t="shared" si="48"/>
        <v>0</v>
      </c>
      <c r="AM81" s="4">
        <f t="shared" ref="AM81:AM87" si="84">+C81+F81+I81+L81+O81+R81+U81+X81+AA81+AD81+AG81+AJ81</f>
        <v>0</v>
      </c>
      <c r="AN81" s="4">
        <f t="shared" ref="AN81:AN87" si="85">+D81+G81+J81+M81+P81+S81+V81+Y81+AB81+AE81+AH81+AK81</f>
        <v>0</v>
      </c>
      <c r="AO81" s="4">
        <f t="shared" ref="AO81:AO87" si="86">+AM81-AN81</f>
        <v>0</v>
      </c>
      <c r="AP81" s="43" t="e">
        <f t="shared" si="71"/>
        <v>#DIV/0!</v>
      </c>
      <c r="AQ81" s="34"/>
      <c r="AR81" s="38"/>
      <c r="AS81" s="95"/>
      <c r="AY81" s="2"/>
      <c r="AZ81" s="2">
        <f t="shared" si="75"/>
        <v>0</v>
      </c>
    </row>
    <row r="82" spans="1:52" hidden="1" x14ac:dyDescent="0.25">
      <c r="A82" s="5" t="str">
        <f>+'202501anual'!A144</f>
        <v>Permiso de vertimiento (alcantarillado)</v>
      </c>
      <c r="B82" s="4">
        <v>0</v>
      </c>
      <c r="C82" s="4">
        <v>0</v>
      </c>
      <c r="D82" s="4">
        <v>0</v>
      </c>
      <c r="E82" s="4">
        <f t="shared" si="38"/>
        <v>0</v>
      </c>
      <c r="F82" s="4">
        <v>0</v>
      </c>
      <c r="G82" s="4">
        <v>0</v>
      </c>
      <c r="H82" s="4">
        <f t="shared" si="39"/>
        <v>0</v>
      </c>
      <c r="I82" s="4">
        <v>0</v>
      </c>
      <c r="J82" s="4">
        <v>0</v>
      </c>
      <c r="K82" s="4">
        <f t="shared" si="64"/>
        <v>0</v>
      </c>
      <c r="L82" s="4">
        <v>0</v>
      </c>
      <c r="M82" s="4"/>
      <c r="N82" s="4">
        <f t="shared" si="65"/>
        <v>0</v>
      </c>
      <c r="O82" s="4">
        <v>0</v>
      </c>
      <c r="P82" s="4"/>
      <c r="Q82" s="4">
        <f t="shared" si="66"/>
        <v>0</v>
      </c>
      <c r="R82" s="4">
        <f>+'202501anual'!H144</f>
        <v>0</v>
      </c>
      <c r="S82" s="4">
        <v>0</v>
      </c>
      <c r="T82" s="4">
        <f>+R82-S82</f>
        <v>0</v>
      </c>
      <c r="U82" s="4"/>
      <c r="V82" s="4">
        <v>0</v>
      </c>
      <c r="W82" s="4">
        <f t="shared" si="74"/>
        <v>0</v>
      </c>
      <c r="X82" s="77">
        <v>0</v>
      </c>
      <c r="Y82" s="4">
        <v>0</v>
      </c>
      <c r="Z82" s="4">
        <f t="shared" si="83"/>
        <v>0</v>
      </c>
      <c r="AA82" s="4"/>
      <c r="AB82" s="4"/>
      <c r="AC82" s="4">
        <f t="shared" si="67"/>
        <v>0</v>
      </c>
      <c r="AD82" s="4"/>
      <c r="AE82" s="4"/>
      <c r="AF82" s="4">
        <f t="shared" si="46"/>
        <v>0</v>
      </c>
      <c r="AG82" s="4"/>
      <c r="AH82" s="4"/>
      <c r="AI82" s="4">
        <f t="shared" si="47"/>
        <v>0</v>
      </c>
      <c r="AJ82" s="4">
        <v>0</v>
      </c>
      <c r="AK82" s="4">
        <v>0</v>
      </c>
      <c r="AL82" s="4">
        <f t="shared" si="48"/>
        <v>0</v>
      </c>
      <c r="AM82" s="4">
        <f t="shared" si="84"/>
        <v>0</v>
      </c>
      <c r="AN82" s="4">
        <f t="shared" si="85"/>
        <v>0</v>
      </c>
      <c r="AO82" s="4">
        <f t="shared" si="86"/>
        <v>0</v>
      </c>
      <c r="AP82" s="43" t="e">
        <f t="shared" si="71"/>
        <v>#DIV/0!</v>
      </c>
      <c r="AQ82" s="34"/>
      <c r="AR82" s="38"/>
      <c r="AS82" s="2"/>
      <c r="AY82" s="2"/>
      <c r="AZ82" s="2">
        <f t="shared" si="75"/>
        <v>0</v>
      </c>
    </row>
    <row r="83" spans="1:52" x14ac:dyDescent="0.25">
      <c r="A83" s="5" t="str">
        <f>+'202501anual'!A145</f>
        <v>Permiso de concesión de agua</v>
      </c>
      <c r="B83" s="4">
        <v>0</v>
      </c>
      <c r="C83" s="4">
        <v>0</v>
      </c>
      <c r="D83" s="4">
        <v>0</v>
      </c>
      <c r="E83" s="4">
        <f t="shared" si="38"/>
        <v>0</v>
      </c>
      <c r="F83" s="4">
        <v>0</v>
      </c>
      <c r="G83" s="4">
        <v>0</v>
      </c>
      <c r="H83" s="4">
        <f t="shared" si="39"/>
        <v>0</v>
      </c>
      <c r="I83" s="4">
        <v>0</v>
      </c>
      <c r="J83" s="4">
        <v>0</v>
      </c>
      <c r="K83" s="4">
        <f t="shared" si="64"/>
        <v>0</v>
      </c>
      <c r="L83" s="4">
        <v>0</v>
      </c>
      <c r="M83" s="4"/>
      <c r="N83" s="4">
        <f t="shared" si="65"/>
        <v>0</v>
      </c>
      <c r="O83" s="4">
        <f>+'202501anual'!G145</f>
        <v>8000000</v>
      </c>
      <c r="P83" s="4">
        <f>+'202501anual'!T145</f>
        <v>1054000</v>
      </c>
      <c r="Q83" s="4">
        <f t="shared" si="66"/>
        <v>6946000</v>
      </c>
      <c r="R83" s="4">
        <f>+'202501anual'!H145</f>
        <v>0</v>
      </c>
      <c r="S83" s="4">
        <f>+'202501anual'!U145</f>
        <v>0</v>
      </c>
      <c r="T83" s="4">
        <f>+R83-S83</f>
        <v>0</v>
      </c>
      <c r="U83" s="4">
        <f>+'202501anual'!I145</f>
        <v>0</v>
      </c>
      <c r="V83" s="4">
        <f>+'202501anual'!V145</f>
        <v>0</v>
      </c>
      <c r="W83" s="4">
        <f t="shared" si="74"/>
        <v>0</v>
      </c>
      <c r="X83" s="77">
        <f t="shared" si="82"/>
        <v>0</v>
      </c>
      <c r="Y83" s="4">
        <v>0</v>
      </c>
      <c r="Z83" s="4">
        <f t="shared" si="83"/>
        <v>0</v>
      </c>
      <c r="AA83" s="4"/>
      <c r="AB83" s="4"/>
      <c r="AC83" s="4">
        <f t="shared" si="67"/>
        <v>0</v>
      </c>
      <c r="AD83" s="4"/>
      <c r="AE83" s="4"/>
      <c r="AF83" s="4">
        <f t="shared" si="46"/>
        <v>0</v>
      </c>
      <c r="AG83" s="4"/>
      <c r="AH83" s="4"/>
      <c r="AI83" s="4">
        <f t="shared" si="47"/>
        <v>0</v>
      </c>
      <c r="AJ83" s="4">
        <v>0</v>
      </c>
      <c r="AK83" s="4">
        <v>0</v>
      </c>
      <c r="AL83" s="4">
        <f t="shared" si="48"/>
        <v>0</v>
      </c>
      <c r="AM83" s="4">
        <f t="shared" si="84"/>
        <v>8000000</v>
      </c>
      <c r="AN83" s="4">
        <f t="shared" si="85"/>
        <v>1054000</v>
      </c>
      <c r="AO83" s="4">
        <f t="shared" si="86"/>
        <v>6946000</v>
      </c>
      <c r="AP83" s="43">
        <f t="shared" si="71"/>
        <v>86.825000000000003</v>
      </c>
      <c r="AQ83" s="34"/>
      <c r="AR83" s="38"/>
      <c r="AS83" s="2"/>
      <c r="AY83" s="2"/>
      <c r="AZ83" s="2">
        <f t="shared" si="75"/>
        <v>0</v>
      </c>
    </row>
    <row r="84" spans="1:52" hidden="1" x14ac:dyDescent="0.25">
      <c r="A84" s="5" t="str">
        <f>+'202501anual'!A146</f>
        <v>Vertimiento Acueducto, Tasa Retributiva</v>
      </c>
      <c r="B84" s="4">
        <v>0</v>
      </c>
      <c r="C84" s="4">
        <v>0</v>
      </c>
      <c r="D84" s="4">
        <v>0</v>
      </c>
      <c r="E84" s="4">
        <f t="shared" si="38"/>
        <v>0</v>
      </c>
      <c r="F84" s="4">
        <v>0</v>
      </c>
      <c r="G84" s="4">
        <v>0</v>
      </c>
      <c r="H84" s="4">
        <f t="shared" si="39"/>
        <v>0</v>
      </c>
      <c r="I84" s="4">
        <v>0</v>
      </c>
      <c r="J84" s="4">
        <v>0</v>
      </c>
      <c r="K84" s="4">
        <f t="shared" si="64"/>
        <v>0</v>
      </c>
      <c r="L84" s="4">
        <v>0</v>
      </c>
      <c r="M84" s="4"/>
      <c r="N84" s="4">
        <f t="shared" si="65"/>
        <v>0</v>
      </c>
      <c r="O84" s="4">
        <v>0</v>
      </c>
      <c r="P84" s="4">
        <v>0</v>
      </c>
      <c r="Q84" s="4">
        <f t="shared" si="66"/>
        <v>0</v>
      </c>
      <c r="R84" s="4">
        <v>0</v>
      </c>
      <c r="S84" s="4">
        <v>0</v>
      </c>
      <c r="T84" s="4">
        <f>+R84-S84</f>
        <v>0</v>
      </c>
      <c r="U84" s="4">
        <f>+'202501anual'!I146</f>
        <v>0</v>
      </c>
      <c r="V84" s="4">
        <v>0</v>
      </c>
      <c r="W84" s="4">
        <f t="shared" si="74"/>
        <v>0</v>
      </c>
      <c r="X84" s="77">
        <f t="shared" si="82"/>
        <v>0</v>
      </c>
      <c r="Y84" s="4">
        <v>0</v>
      </c>
      <c r="Z84" s="4">
        <f t="shared" si="83"/>
        <v>0</v>
      </c>
      <c r="AA84" s="4"/>
      <c r="AB84" s="4"/>
      <c r="AC84" s="4">
        <f t="shared" si="67"/>
        <v>0</v>
      </c>
      <c r="AD84" s="4"/>
      <c r="AE84" s="4"/>
      <c r="AF84" s="4">
        <f t="shared" si="46"/>
        <v>0</v>
      </c>
      <c r="AG84" s="4"/>
      <c r="AH84" s="4"/>
      <c r="AI84" s="4">
        <f t="shared" si="47"/>
        <v>0</v>
      </c>
      <c r="AJ84" s="4">
        <v>0</v>
      </c>
      <c r="AK84" s="4">
        <v>0</v>
      </c>
      <c r="AL84" s="4">
        <f t="shared" si="48"/>
        <v>0</v>
      </c>
      <c r="AM84" s="4">
        <f t="shared" si="84"/>
        <v>0</v>
      </c>
      <c r="AN84" s="4">
        <f t="shared" si="85"/>
        <v>0</v>
      </c>
      <c r="AO84" s="4">
        <f t="shared" si="86"/>
        <v>0</v>
      </c>
      <c r="AP84" s="43" t="e">
        <f t="shared" si="71"/>
        <v>#DIV/0!</v>
      </c>
      <c r="AQ84" s="34"/>
      <c r="AR84" s="38"/>
      <c r="AS84" s="2"/>
      <c r="AY84" s="2"/>
      <c r="AZ84" s="2">
        <f t="shared" si="75"/>
        <v>0</v>
      </c>
    </row>
    <row r="85" spans="1:52" hidden="1" x14ac:dyDescent="0.25">
      <c r="A85" s="5" t="str">
        <f>+'202501anual'!A147</f>
        <v>Vertimientos Alcantarillado, Tasa retributivas</v>
      </c>
      <c r="B85" s="4">
        <v>0</v>
      </c>
      <c r="C85" s="4">
        <v>0</v>
      </c>
      <c r="D85" s="4">
        <v>0</v>
      </c>
      <c r="E85" s="4">
        <f t="shared" si="38"/>
        <v>0</v>
      </c>
      <c r="F85" s="4">
        <v>0</v>
      </c>
      <c r="G85" s="4">
        <v>0</v>
      </c>
      <c r="H85" s="4">
        <f t="shared" si="39"/>
        <v>0</v>
      </c>
      <c r="I85" s="4">
        <v>0</v>
      </c>
      <c r="J85" s="4">
        <v>0</v>
      </c>
      <c r="K85" s="4">
        <f t="shared" si="64"/>
        <v>0</v>
      </c>
      <c r="L85" s="4">
        <v>0</v>
      </c>
      <c r="M85" s="4">
        <v>0</v>
      </c>
      <c r="N85" s="4">
        <f t="shared" si="65"/>
        <v>0</v>
      </c>
      <c r="O85" s="4">
        <v>0</v>
      </c>
      <c r="P85" s="4">
        <v>0</v>
      </c>
      <c r="Q85" s="4">
        <f t="shared" si="66"/>
        <v>0</v>
      </c>
      <c r="R85" s="4">
        <v>0</v>
      </c>
      <c r="S85" s="4">
        <v>0</v>
      </c>
      <c r="T85" s="4">
        <f t="shared" si="81"/>
        <v>0</v>
      </c>
      <c r="U85" s="4"/>
      <c r="V85" s="4">
        <v>0</v>
      </c>
      <c r="W85" s="4">
        <f t="shared" si="74"/>
        <v>0</v>
      </c>
      <c r="X85" s="77">
        <f t="shared" si="82"/>
        <v>0</v>
      </c>
      <c r="Y85" s="4"/>
      <c r="Z85" s="4">
        <f t="shared" si="83"/>
        <v>0</v>
      </c>
      <c r="AA85" s="4"/>
      <c r="AB85" s="4"/>
      <c r="AC85" s="4">
        <f t="shared" si="67"/>
        <v>0</v>
      </c>
      <c r="AD85" s="4"/>
      <c r="AE85" s="4"/>
      <c r="AF85" s="4">
        <f t="shared" si="46"/>
        <v>0</v>
      </c>
      <c r="AG85" s="4"/>
      <c r="AH85" s="4"/>
      <c r="AI85" s="4">
        <f t="shared" si="47"/>
        <v>0</v>
      </c>
      <c r="AJ85" s="4"/>
      <c r="AK85" s="4">
        <v>0</v>
      </c>
      <c r="AL85" s="4">
        <f t="shared" si="48"/>
        <v>0</v>
      </c>
      <c r="AM85" s="4">
        <f t="shared" si="84"/>
        <v>0</v>
      </c>
      <c r="AN85" s="4">
        <f t="shared" si="85"/>
        <v>0</v>
      </c>
      <c r="AO85" s="4">
        <f t="shared" si="86"/>
        <v>0</v>
      </c>
      <c r="AP85" s="43" t="e">
        <f t="shared" si="71"/>
        <v>#DIV/0!</v>
      </c>
      <c r="AQ85" s="34"/>
      <c r="AR85" s="38"/>
      <c r="AS85" s="2"/>
      <c r="AY85" s="2"/>
      <c r="AZ85" s="2">
        <f t="shared" si="75"/>
        <v>0</v>
      </c>
    </row>
    <row r="86" spans="1:52" x14ac:dyDescent="0.25">
      <c r="A86" s="5" t="s">
        <v>174</v>
      </c>
      <c r="B86" s="4">
        <v>390000000</v>
      </c>
      <c r="C86" s="4">
        <f>+[7]Ppto!$Y$108</f>
        <v>20000000</v>
      </c>
      <c r="D86" s="4">
        <v>0</v>
      </c>
      <c r="E86" s="4">
        <f t="shared" si="38"/>
        <v>20000000</v>
      </c>
      <c r="F86" s="75">
        <f>+'202501anual'!D162</f>
        <v>20000000</v>
      </c>
      <c r="G86" s="4">
        <v>0</v>
      </c>
      <c r="H86" s="4">
        <f t="shared" si="39"/>
        <v>20000000</v>
      </c>
      <c r="I86" s="75">
        <f>+'202501anual'!E162</f>
        <v>20000000</v>
      </c>
      <c r="J86" s="4">
        <v>0</v>
      </c>
      <c r="K86" s="4">
        <f t="shared" si="64"/>
        <v>20000000</v>
      </c>
      <c r="L86" s="75">
        <f>+'202501anual'!F162+'202501anual'!F148</f>
        <v>170000000</v>
      </c>
      <c r="M86" s="4">
        <v>0</v>
      </c>
      <c r="N86" s="4">
        <f t="shared" si="65"/>
        <v>170000000</v>
      </c>
      <c r="O86" s="4">
        <f>+'202501anual'!G162+'202501anual'!G148</f>
        <v>20000000</v>
      </c>
      <c r="P86" s="4">
        <v>0</v>
      </c>
      <c r="Q86" s="4">
        <f t="shared" si="66"/>
        <v>20000000</v>
      </c>
      <c r="R86" s="4">
        <f>+'202501anual'!H162+'202501anual'!H148+'202501anual'!H146</f>
        <v>26000000</v>
      </c>
      <c r="S86" s="4">
        <f>+'202501anual'!U162+'202501anual'!U148</f>
        <v>0</v>
      </c>
      <c r="T86" s="4">
        <f t="shared" si="81"/>
        <v>26000000</v>
      </c>
      <c r="U86" s="4">
        <f>+'202501anual'!I162+'202501anual'!I148+'202501anual'!I146</f>
        <v>20000000</v>
      </c>
      <c r="V86" s="4">
        <v>0</v>
      </c>
      <c r="W86" s="4">
        <f t="shared" si="74"/>
        <v>20000000</v>
      </c>
      <c r="X86" s="77"/>
      <c r="Y86" s="4"/>
      <c r="Z86" s="4">
        <v>0</v>
      </c>
      <c r="AA86" s="124"/>
      <c r="AB86" s="4"/>
      <c r="AC86" s="4">
        <f t="shared" si="67"/>
        <v>0</v>
      </c>
      <c r="AD86" s="4">
        <f>+'202501anual'!L148</f>
        <v>0</v>
      </c>
      <c r="AE86" s="4"/>
      <c r="AF86" s="4">
        <f t="shared" si="46"/>
        <v>0</v>
      </c>
      <c r="AG86" s="4"/>
      <c r="AH86" s="4">
        <f>+'202501anual'!R148</f>
        <v>0</v>
      </c>
      <c r="AI86" s="4">
        <f t="shared" si="47"/>
        <v>0</v>
      </c>
      <c r="AJ86" s="4">
        <f>+'202501anual'!N148</f>
        <v>0</v>
      </c>
      <c r="AK86" s="4">
        <v>0</v>
      </c>
      <c r="AL86" s="4">
        <f t="shared" si="48"/>
        <v>0</v>
      </c>
      <c r="AM86" s="4">
        <f t="shared" si="84"/>
        <v>296000000</v>
      </c>
      <c r="AN86" s="4">
        <f t="shared" si="85"/>
        <v>0</v>
      </c>
      <c r="AO86" s="4">
        <f t="shared" si="86"/>
        <v>296000000</v>
      </c>
      <c r="AP86" s="29">
        <f>+AO86/AM86*100</f>
        <v>100</v>
      </c>
      <c r="AQ86" s="34"/>
      <c r="AR86" s="38"/>
      <c r="AS86" s="95"/>
      <c r="AY86" s="2"/>
      <c r="AZ86" s="2">
        <f t="shared" si="75"/>
        <v>0</v>
      </c>
    </row>
    <row r="87" spans="1:52" hidden="1" x14ac:dyDescent="0.25">
      <c r="A87" s="5" t="s">
        <v>224</v>
      </c>
      <c r="B87" s="4">
        <v>0</v>
      </c>
      <c r="C87" s="4">
        <v>0</v>
      </c>
      <c r="D87" s="4">
        <v>0</v>
      </c>
      <c r="E87" s="4">
        <f t="shared" si="38"/>
        <v>0</v>
      </c>
      <c r="F87" s="75">
        <v>0</v>
      </c>
      <c r="G87" s="4">
        <v>0</v>
      </c>
      <c r="H87" s="4">
        <f t="shared" si="39"/>
        <v>0</v>
      </c>
      <c r="I87" s="75">
        <v>0</v>
      </c>
      <c r="J87" s="4">
        <v>0</v>
      </c>
      <c r="K87" s="4">
        <f t="shared" si="64"/>
        <v>0</v>
      </c>
      <c r="L87" s="75">
        <v>0</v>
      </c>
      <c r="M87" s="4"/>
      <c r="N87" s="4">
        <f t="shared" si="65"/>
        <v>0</v>
      </c>
      <c r="O87" s="4"/>
      <c r="P87" s="4">
        <v>0</v>
      </c>
      <c r="Q87" s="4">
        <f t="shared" si="66"/>
        <v>0</v>
      </c>
      <c r="R87" s="4"/>
      <c r="S87" s="4">
        <v>0</v>
      </c>
      <c r="T87" s="4">
        <f>+R87-S87</f>
        <v>0</v>
      </c>
      <c r="U87" s="4"/>
      <c r="V87" s="4">
        <v>0</v>
      </c>
      <c r="W87" s="4">
        <f t="shared" si="74"/>
        <v>0</v>
      </c>
      <c r="X87" s="127">
        <f t="shared" si="82"/>
        <v>0</v>
      </c>
      <c r="Y87" s="4">
        <v>0</v>
      </c>
      <c r="Z87" s="4">
        <f t="shared" si="83"/>
        <v>0</v>
      </c>
      <c r="AA87" s="4"/>
      <c r="AB87" s="4"/>
      <c r="AC87" s="4">
        <f t="shared" si="67"/>
        <v>0</v>
      </c>
      <c r="AD87" s="4">
        <f>+'202501anual'!L149</f>
        <v>0</v>
      </c>
      <c r="AE87" s="4"/>
      <c r="AF87" s="4">
        <f t="shared" si="46"/>
        <v>0</v>
      </c>
      <c r="AG87" s="4"/>
      <c r="AH87" s="4"/>
      <c r="AI87" s="4">
        <f t="shared" si="47"/>
        <v>0</v>
      </c>
      <c r="AJ87" s="4">
        <v>0</v>
      </c>
      <c r="AK87" s="4">
        <v>0</v>
      </c>
      <c r="AL87" s="4">
        <f t="shared" si="48"/>
        <v>0</v>
      </c>
      <c r="AM87" s="4">
        <f t="shared" si="84"/>
        <v>0</v>
      </c>
      <c r="AN87" s="4">
        <f t="shared" si="85"/>
        <v>0</v>
      </c>
      <c r="AO87" s="4">
        <f t="shared" si="86"/>
        <v>0</v>
      </c>
      <c r="AP87" s="43" t="e">
        <f t="shared" ref="AP87" si="87">+AO87/AM87*100</f>
        <v>#DIV/0!</v>
      </c>
      <c r="AQ87" s="34"/>
      <c r="AR87" s="38"/>
      <c r="AS87" s="95"/>
      <c r="AY87" s="2"/>
      <c r="AZ87" s="2">
        <f t="shared" si="75"/>
        <v>0</v>
      </c>
    </row>
    <row r="88" spans="1:52" x14ac:dyDescent="0.25">
      <c r="A88" s="12" t="s">
        <v>167</v>
      </c>
      <c r="B88" s="8">
        <f t="shared" ref="B88:AO88" si="88">SUM(B81:B87)</f>
        <v>398000000</v>
      </c>
      <c r="C88" s="8">
        <f t="shared" si="88"/>
        <v>20000000</v>
      </c>
      <c r="D88" s="8">
        <f t="shared" si="88"/>
        <v>0</v>
      </c>
      <c r="E88" s="8">
        <f t="shared" si="88"/>
        <v>20000000</v>
      </c>
      <c r="F88" s="8">
        <f t="shared" si="88"/>
        <v>20000000</v>
      </c>
      <c r="G88" s="8">
        <f t="shared" si="88"/>
        <v>0</v>
      </c>
      <c r="H88" s="8">
        <f t="shared" si="88"/>
        <v>20000000</v>
      </c>
      <c r="I88" s="8">
        <f t="shared" ref="I88" si="89">SUM(I81:I87)</f>
        <v>20000000</v>
      </c>
      <c r="J88" s="8">
        <f t="shared" si="88"/>
        <v>0</v>
      </c>
      <c r="K88" s="8">
        <f t="shared" si="88"/>
        <v>20000000</v>
      </c>
      <c r="L88" s="8">
        <f t="shared" ref="L88" si="90">SUM(L81:L87)</f>
        <v>170000000</v>
      </c>
      <c r="M88" s="8">
        <f t="shared" si="88"/>
        <v>0</v>
      </c>
      <c r="N88" s="8">
        <f t="shared" si="88"/>
        <v>170000000</v>
      </c>
      <c r="O88" s="8">
        <f t="shared" si="88"/>
        <v>28000000</v>
      </c>
      <c r="P88" s="8">
        <f t="shared" si="88"/>
        <v>1054000</v>
      </c>
      <c r="Q88" s="8">
        <f t="shared" si="88"/>
        <v>26946000</v>
      </c>
      <c r="R88" s="8">
        <f t="shared" si="88"/>
        <v>26000000</v>
      </c>
      <c r="S88" s="8">
        <f t="shared" si="88"/>
        <v>0</v>
      </c>
      <c r="T88" s="8">
        <f t="shared" si="88"/>
        <v>26000000</v>
      </c>
      <c r="U88" s="8">
        <f t="shared" si="88"/>
        <v>20000000</v>
      </c>
      <c r="V88" s="8">
        <f t="shared" si="88"/>
        <v>0</v>
      </c>
      <c r="W88" s="8">
        <f>SUM(W81:W87)</f>
        <v>20000000</v>
      </c>
      <c r="X88" s="8">
        <f t="shared" si="88"/>
        <v>0</v>
      </c>
      <c r="Y88" s="8">
        <f t="shared" si="88"/>
        <v>0</v>
      </c>
      <c r="Z88" s="8">
        <f t="shared" si="88"/>
        <v>0</v>
      </c>
      <c r="AA88" s="8">
        <f t="shared" si="88"/>
        <v>0</v>
      </c>
      <c r="AB88" s="8">
        <f t="shared" si="88"/>
        <v>0</v>
      </c>
      <c r="AC88" s="8">
        <f t="shared" si="88"/>
        <v>0</v>
      </c>
      <c r="AD88" s="8">
        <f>SUM(AD81:AD87)</f>
        <v>0</v>
      </c>
      <c r="AE88" s="8">
        <f t="shared" si="88"/>
        <v>0</v>
      </c>
      <c r="AF88" s="8">
        <f t="shared" si="88"/>
        <v>0</v>
      </c>
      <c r="AG88" s="8">
        <f t="shared" si="88"/>
        <v>0</v>
      </c>
      <c r="AH88" s="8">
        <f t="shared" si="88"/>
        <v>0</v>
      </c>
      <c r="AI88" s="8">
        <f t="shared" si="88"/>
        <v>0</v>
      </c>
      <c r="AJ88" s="8">
        <f t="shared" si="88"/>
        <v>0</v>
      </c>
      <c r="AK88" s="8">
        <f t="shared" si="88"/>
        <v>0</v>
      </c>
      <c r="AL88" s="8">
        <f t="shared" si="88"/>
        <v>0</v>
      </c>
      <c r="AM88" s="8">
        <f t="shared" si="88"/>
        <v>304000000</v>
      </c>
      <c r="AN88" s="8">
        <f t="shared" si="88"/>
        <v>1054000</v>
      </c>
      <c r="AO88" s="8">
        <f t="shared" si="88"/>
        <v>302946000</v>
      </c>
      <c r="AP88" s="31">
        <f>+AO88/AM88</f>
        <v>0.99653289473684215</v>
      </c>
      <c r="AQ88" s="34"/>
      <c r="AR88" s="50">
        <f>W88/U88*100</f>
        <v>100</v>
      </c>
      <c r="AS88" s="2"/>
      <c r="AY88" s="2"/>
      <c r="AZ88" s="2">
        <f t="shared" si="75"/>
        <v>0</v>
      </c>
    </row>
    <row r="89" spans="1:52" x14ac:dyDescent="0.25">
      <c r="A89" s="12" t="s">
        <v>168</v>
      </c>
      <c r="B89" s="8">
        <f t="shared" ref="B89:AO89" si="91">+B88+B80+B45</f>
        <v>2248060681</v>
      </c>
      <c r="C89" s="8">
        <f t="shared" si="91"/>
        <v>142808815.62666667</v>
      </c>
      <c r="D89" s="8">
        <f t="shared" si="91"/>
        <v>84965541.478159994</v>
      </c>
      <c r="E89" s="8">
        <f t="shared" si="91"/>
        <v>57843274.148506656</v>
      </c>
      <c r="F89" s="8">
        <f t="shared" si="91"/>
        <v>208803569.50671262</v>
      </c>
      <c r="G89" s="8">
        <f t="shared" si="91"/>
        <v>136407878.02000001</v>
      </c>
      <c r="H89" s="8">
        <f t="shared" si="91"/>
        <v>72395691.486712605</v>
      </c>
      <c r="I89" s="8">
        <f t="shared" ref="I89" si="92">+I88+I80+I45</f>
        <v>182483569.50671262</v>
      </c>
      <c r="J89" s="8">
        <f t="shared" si="91"/>
        <v>137976813.63</v>
      </c>
      <c r="K89" s="8">
        <f t="shared" si="91"/>
        <v>44506755.876712605</v>
      </c>
      <c r="L89" s="8">
        <f t="shared" si="91"/>
        <v>372357569.50671256</v>
      </c>
      <c r="M89" s="8">
        <f t="shared" si="91"/>
        <v>134340881</v>
      </c>
      <c r="N89" s="8">
        <f t="shared" si="91"/>
        <v>238016688.50671262</v>
      </c>
      <c r="O89" s="8">
        <f t="shared" si="91"/>
        <v>206387969.50671259</v>
      </c>
      <c r="P89" s="8">
        <f t="shared" si="91"/>
        <v>120084663</v>
      </c>
      <c r="Q89" s="8">
        <f t="shared" si="91"/>
        <v>86303306.506712601</v>
      </c>
      <c r="R89" s="8">
        <f t="shared" si="91"/>
        <v>194977569.50671262</v>
      </c>
      <c r="S89" s="8">
        <f t="shared" si="91"/>
        <v>125131834.00000003</v>
      </c>
      <c r="T89" s="8">
        <f t="shared" si="91"/>
        <v>69845735.506712571</v>
      </c>
      <c r="U89" s="8">
        <f t="shared" si="91"/>
        <v>182027569.50671262</v>
      </c>
      <c r="V89" s="8">
        <f t="shared" si="91"/>
        <v>178584654</v>
      </c>
      <c r="W89" s="8">
        <f t="shared" si="91"/>
        <v>3442915.5067126043</v>
      </c>
      <c r="X89" s="8">
        <f t="shared" si="91"/>
        <v>0</v>
      </c>
      <c r="Y89" s="8">
        <f t="shared" si="91"/>
        <v>0</v>
      </c>
      <c r="Z89" s="8">
        <f t="shared" si="91"/>
        <v>0</v>
      </c>
      <c r="AA89" s="8">
        <f t="shared" si="91"/>
        <v>0</v>
      </c>
      <c r="AB89" s="8">
        <f t="shared" si="91"/>
        <v>0</v>
      </c>
      <c r="AC89" s="8">
        <f t="shared" si="91"/>
        <v>0</v>
      </c>
      <c r="AD89" s="8">
        <f>+AD88+AD80+AD45</f>
        <v>0</v>
      </c>
      <c r="AE89" s="8">
        <f t="shared" si="91"/>
        <v>0</v>
      </c>
      <c r="AF89" s="8">
        <f t="shared" si="91"/>
        <v>0</v>
      </c>
      <c r="AG89" s="8">
        <f>+AG88+AG80+AG45</f>
        <v>0</v>
      </c>
      <c r="AH89" s="8">
        <f t="shared" si="91"/>
        <v>0</v>
      </c>
      <c r="AI89" s="8">
        <f t="shared" si="91"/>
        <v>0</v>
      </c>
      <c r="AJ89" s="8">
        <f t="shared" si="91"/>
        <v>0</v>
      </c>
      <c r="AK89" s="8">
        <f t="shared" si="91"/>
        <v>0</v>
      </c>
      <c r="AL89" s="8">
        <f t="shared" si="91"/>
        <v>0</v>
      </c>
      <c r="AM89" s="8">
        <f t="shared" si="91"/>
        <v>1489846632.6669424</v>
      </c>
      <c r="AN89" s="8">
        <f t="shared" si="91"/>
        <v>917492265.12816</v>
      </c>
      <c r="AO89" s="8">
        <f t="shared" si="91"/>
        <v>572354367.53878224</v>
      </c>
      <c r="AP89" s="31">
        <f>+AO89/AM89</f>
        <v>0.38416999105083927</v>
      </c>
      <c r="AQ89" s="34"/>
      <c r="AR89" s="50">
        <f>W89/U89*100</f>
        <v>1.8914253022455703</v>
      </c>
      <c r="AS89" s="2"/>
      <c r="AY89" s="2"/>
      <c r="AZ89" s="2">
        <f t="shared" si="75"/>
        <v>0</v>
      </c>
    </row>
    <row r="90" spans="1:52" s="1" customFormat="1" x14ac:dyDescent="0.25">
      <c r="A90" s="12" t="s">
        <v>62</v>
      </c>
      <c r="B90" s="15">
        <f t="shared" ref="B90:AO90" si="93">+B89+B31+B23</f>
        <v>6709964627.4400005</v>
      </c>
      <c r="C90" s="15">
        <f t="shared" si="93"/>
        <v>437569994.49666667</v>
      </c>
      <c r="D90" s="15">
        <f t="shared" si="93"/>
        <v>308145831.89815998</v>
      </c>
      <c r="E90" s="15">
        <f t="shared" si="93"/>
        <v>129424162.59850666</v>
      </c>
      <c r="F90" s="15">
        <f t="shared" si="93"/>
        <v>513370748.37671262</v>
      </c>
      <c r="G90" s="15">
        <f t="shared" si="93"/>
        <v>441347441.01999998</v>
      </c>
      <c r="H90" s="15">
        <f t="shared" si="93"/>
        <v>72023307.35671261</v>
      </c>
      <c r="I90" s="15">
        <f t="shared" ref="I90" si="94">+I89+I31+I23</f>
        <v>603944748.37671256</v>
      </c>
      <c r="J90" s="15">
        <f t="shared" si="93"/>
        <v>420419014.63</v>
      </c>
      <c r="K90" s="15">
        <f t="shared" si="93"/>
        <v>183525733.74671263</v>
      </c>
      <c r="L90" s="15">
        <f t="shared" si="93"/>
        <v>762324748.37671256</v>
      </c>
      <c r="M90" s="15">
        <f t="shared" si="93"/>
        <v>434295542</v>
      </c>
      <c r="N90" s="15">
        <f t="shared" si="93"/>
        <v>328029206.37671262</v>
      </c>
      <c r="O90" s="15">
        <f t="shared" si="93"/>
        <v>581555148.37671256</v>
      </c>
      <c r="P90" s="15">
        <f t="shared" si="93"/>
        <v>406656416</v>
      </c>
      <c r="Q90" s="15">
        <f t="shared" si="93"/>
        <v>174898732.37671262</v>
      </c>
      <c r="R90" s="15">
        <f t="shared" si="93"/>
        <v>560644748.37671256</v>
      </c>
      <c r="S90" s="15">
        <f t="shared" si="93"/>
        <v>403388655</v>
      </c>
      <c r="T90" s="15">
        <f t="shared" si="93"/>
        <v>157256093.37671256</v>
      </c>
      <c r="U90" s="15">
        <f t="shared" si="93"/>
        <v>527744748.37671262</v>
      </c>
      <c r="V90" s="15">
        <f t="shared" si="93"/>
        <v>572409686</v>
      </c>
      <c r="W90" s="15">
        <f t="shared" si="93"/>
        <v>-44664937.623287395</v>
      </c>
      <c r="X90" s="15">
        <f t="shared" si="93"/>
        <v>0</v>
      </c>
      <c r="Y90" s="15">
        <f t="shared" si="93"/>
        <v>0</v>
      </c>
      <c r="Z90" s="15">
        <f t="shared" si="93"/>
        <v>0</v>
      </c>
      <c r="AA90" s="15">
        <f t="shared" si="93"/>
        <v>0</v>
      </c>
      <c r="AB90" s="15">
        <f t="shared" si="93"/>
        <v>0</v>
      </c>
      <c r="AC90" s="15">
        <f t="shared" si="93"/>
        <v>0</v>
      </c>
      <c r="AD90" s="15">
        <f>+AD89+AD31+AD23</f>
        <v>0</v>
      </c>
      <c r="AE90" s="15">
        <f t="shared" si="93"/>
        <v>0</v>
      </c>
      <c r="AF90" s="15">
        <f t="shared" si="93"/>
        <v>0</v>
      </c>
      <c r="AG90" s="15">
        <f t="shared" si="93"/>
        <v>0</v>
      </c>
      <c r="AH90" s="15">
        <f t="shared" si="93"/>
        <v>0</v>
      </c>
      <c r="AI90" s="15">
        <f t="shared" si="93"/>
        <v>0</v>
      </c>
      <c r="AJ90" s="15">
        <f t="shared" si="93"/>
        <v>0</v>
      </c>
      <c r="AK90" s="15">
        <f t="shared" si="93"/>
        <v>0</v>
      </c>
      <c r="AL90" s="15">
        <f t="shared" si="93"/>
        <v>0</v>
      </c>
      <c r="AM90" s="15">
        <f t="shared" si="93"/>
        <v>3987154884.7569427</v>
      </c>
      <c r="AN90" s="15">
        <f t="shared" si="93"/>
        <v>2986662586.5481601</v>
      </c>
      <c r="AO90" s="15">
        <f>+AO89+AO31+AO23</f>
        <v>1000492298.2087822</v>
      </c>
      <c r="AP90" s="31">
        <f>+AO90/AM90</f>
        <v>0.25092887713835882</v>
      </c>
      <c r="AQ90" s="34"/>
      <c r="AR90" s="50">
        <f>W90/U90*100</f>
        <v>-8.4633599407046773</v>
      </c>
      <c r="AS90" s="24"/>
      <c r="AT90" s="81"/>
      <c r="AX90" s="73"/>
      <c r="AY90" s="2"/>
      <c r="AZ90" s="2">
        <f t="shared" si="75"/>
        <v>0</v>
      </c>
    </row>
    <row r="91" spans="1:52" ht="19.5" thickBot="1" x14ac:dyDescent="0.3">
      <c r="A91" s="13" t="s">
        <v>0</v>
      </c>
      <c r="B91" s="151">
        <f t="shared" ref="B91:AO91" si="95">+B12-B90</f>
        <v>-3.0231475830078125E-4</v>
      </c>
      <c r="C91" s="9">
        <f t="shared" si="95"/>
        <v>-243461751.16333333</v>
      </c>
      <c r="D91" s="9">
        <f t="shared" si="95"/>
        <v>-108750535.03816</v>
      </c>
      <c r="E91" s="9">
        <f t="shared" si="95"/>
        <v>-134711216.1251733</v>
      </c>
      <c r="F91" s="9">
        <f t="shared" si="95"/>
        <v>-326191971.7067126</v>
      </c>
      <c r="G91" s="9">
        <f t="shared" si="95"/>
        <v>-193442964.94</v>
      </c>
      <c r="H91" s="9">
        <f t="shared" si="95"/>
        <v>-132749006.76671261</v>
      </c>
      <c r="I91" s="9">
        <f t="shared" ref="I91" si="96">+I12-I90</f>
        <v>-413301238.37671256</v>
      </c>
      <c r="J91" s="9">
        <f t="shared" si="95"/>
        <v>-291194497.05000001</v>
      </c>
      <c r="K91" s="9">
        <f t="shared" si="95"/>
        <v>-122106741.32671261</v>
      </c>
      <c r="L91" s="9">
        <f t="shared" si="95"/>
        <v>2619976951.2899542</v>
      </c>
      <c r="M91" s="9">
        <f t="shared" si="95"/>
        <v>2928028659.3899999</v>
      </c>
      <c r="N91" s="9">
        <f t="shared" si="95"/>
        <v>-308051708.10004592</v>
      </c>
      <c r="O91" s="9">
        <f t="shared" si="95"/>
        <v>-390911638.71004587</v>
      </c>
      <c r="P91" s="9">
        <f t="shared" si="95"/>
        <v>-125770258.32999998</v>
      </c>
      <c r="Q91" s="9">
        <f t="shared" si="95"/>
        <v>-265141380.38004595</v>
      </c>
      <c r="R91" s="9">
        <f t="shared" si="95"/>
        <v>-370001237.37671256</v>
      </c>
      <c r="S91" s="9">
        <f t="shared" si="95"/>
        <v>-123283350.85999995</v>
      </c>
      <c r="T91" s="9">
        <f t="shared" si="95"/>
        <v>-246717886.51671258</v>
      </c>
      <c r="U91" s="9">
        <f t="shared" si="95"/>
        <v>-332538437.37671262</v>
      </c>
      <c r="V91" s="9">
        <f t="shared" si="95"/>
        <v>-311908123.62</v>
      </c>
      <c r="W91" s="9">
        <f t="shared" si="95"/>
        <v>-20630313.756712601</v>
      </c>
      <c r="X91" s="9">
        <f t="shared" si="95"/>
        <v>0</v>
      </c>
      <c r="Y91" s="9">
        <f t="shared" si="95"/>
        <v>0</v>
      </c>
      <c r="Z91" s="9">
        <f t="shared" si="95"/>
        <v>0</v>
      </c>
      <c r="AA91" s="9">
        <f t="shared" si="95"/>
        <v>0</v>
      </c>
      <c r="AB91" s="9">
        <f t="shared" si="95"/>
        <v>0</v>
      </c>
      <c r="AC91" s="9">
        <f t="shared" si="95"/>
        <v>0</v>
      </c>
      <c r="AD91" s="9">
        <f t="shared" si="95"/>
        <v>0</v>
      </c>
      <c r="AE91" s="9">
        <f t="shared" si="95"/>
        <v>0</v>
      </c>
      <c r="AF91" s="9">
        <f t="shared" si="95"/>
        <v>0</v>
      </c>
      <c r="AG91" s="9">
        <f t="shared" si="95"/>
        <v>0</v>
      </c>
      <c r="AH91" s="9">
        <f t="shared" si="95"/>
        <v>0</v>
      </c>
      <c r="AI91" s="9">
        <f t="shared" si="95"/>
        <v>0</v>
      </c>
      <c r="AJ91" s="9">
        <f t="shared" si="95"/>
        <v>0</v>
      </c>
      <c r="AK91" s="9">
        <f t="shared" si="95"/>
        <v>0</v>
      </c>
      <c r="AL91" s="9">
        <f t="shared" si="95"/>
        <v>0</v>
      </c>
      <c r="AM91" s="9">
        <f t="shared" si="95"/>
        <v>543570676.57972431</v>
      </c>
      <c r="AN91" s="9">
        <f t="shared" si="95"/>
        <v>1773678929.5518403</v>
      </c>
      <c r="AO91" s="9">
        <f t="shared" si="95"/>
        <v>-1230108252.9721155</v>
      </c>
      <c r="AP91" s="32">
        <f>+AO91/AM91</f>
        <v>-2.2630143714010633</v>
      </c>
      <c r="AQ91" s="34"/>
      <c r="AR91" s="50"/>
      <c r="AS91" s="2"/>
      <c r="AY91" s="2"/>
      <c r="AZ91" s="2">
        <f t="shared" si="75"/>
        <v>0</v>
      </c>
    </row>
    <row r="92" spans="1:52" x14ac:dyDescent="0.25">
      <c r="B92" s="2"/>
      <c r="C92" s="3"/>
      <c r="D92" s="2"/>
      <c r="F92" s="2"/>
      <c r="G92" s="40"/>
      <c r="H92" s="40"/>
      <c r="I92" s="2"/>
      <c r="J92" s="2"/>
      <c r="K92" s="2"/>
      <c r="L92" s="2"/>
      <c r="O92" s="2">
        <f>+O90-'202501anual'!G164</f>
        <v>0</v>
      </c>
      <c r="P92" s="2"/>
      <c r="R92" s="2"/>
      <c r="S92" s="2"/>
      <c r="T92" s="2"/>
      <c r="U92" s="2"/>
      <c r="V92" s="2"/>
      <c r="X92" s="2"/>
      <c r="Y92" s="2"/>
      <c r="AA92" s="2"/>
      <c r="AB92" s="2"/>
      <c r="AC92" s="2"/>
      <c r="AD92" s="2"/>
      <c r="AE92" s="2"/>
      <c r="AF92" s="2"/>
      <c r="AG92" s="2"/>
      <c r="AH92" s="2"/>
      <c r="AI92" s="2"/>
      <c r="AM92" s="2"/>
      <c r="AO92" s="24"/>
      <c r="AQ92" s="34"/>
      <c r="AR92" s="50"/>
      <c r="AS92" s="2"/>
      <c r="AY92" s="2"/>
      <c r="AZ92" s="2">
        <f t="shared" ref="AZ92:AZ127" si="97">+AM92-AN92-AO92</f>
        <v>0</v>
      </c>
    </row>
    <row r="93" spans="1:52" x14ac:dyDescent="0.25">
      <c r="B93" s="2"/>
      <c r="C93" s="2"/>
      <c r="D93" s="2"/>
      <c r="F93" s="2"/>
      <c r="G93" s="40"/>
      <c r="H93" s="40"/>
      <c r="I93" s="2"/>
      <c r="J93" s="2"/>
      <c r="K93" s="2"/>
      <c r="L93" s="2"/>
      <c r="O93" s="2"/>
      <c r="R93" s="2"/>
      <c r="S93" s="2"/>
      <c r="T93" s="2"/>
      <c r="U93" s="2"/>
      <c r="V93" s="2"/>
      <c r="X93" s="2"/>
      <c r="Y93" s="2"/>
      <c r="AA93" s="2"/>
      <c r="AB93" s="2"/>
      <c r="AC93" s="2"/>
      <c r="AD93" s="2"/>
      <c r="AE93" s="2"/>
      <c r="AF93" s="2"/>
      <c r="AG93" s="2"/>
      <c r="AH93" s="2"/>
      <c r="AI93" s="2"/>
      <c r="AM93" s="2"/>
      <c r="AN93" s="2"/>
      <c r="AO93" s="24"/>
      <c r="AQ93" s="34"/>
      <c r="AR93" s="50"/>
      <c r="AS93" s="2"/>
      <c r="AY93" s="2"/>
      <c r="AZ93" s="2">
        <f t="shared" si="97"/>
        <v>0</v>
      </c>
    </row>
    <row r="94" spans="1:52" ht="15.75" customHeight="1" x14ac:dyDescent="0.25">
      <c r="C94" s="2"/>
      <c r="E94" s="2"/>
      <c r="F94" s="3"/>
      <c r="G94" s="35"/>
      <c r="H94" s="2"/>
      <c r="I94" s="2"/>
      <c r="J94" s="2"/>
      <c r="K94" s="2"/>
      <c r="L94" s="2"/>
      <c r="N94" s="2"/>
      <c r="O94" s="2"/>
      <c r="P94" s="24"/>
      <c r="R94" s="2"/>
      <c r="S94" s="2"/>
      <c r="T94" s="2"/>
      <c r="U94" s="2"/>
      <c r="V94" s="2"/>
      <c r="X94" s="2"/>
      <c r="Y94" s="2"/>
      <c r="Z94" s="2"/>
      <c r="AA94" s="2"/>
      <c r="AL94" s="2">
        <f>+C90+F90+I90+L90+O90+R90+U90+X90+AA90+AD90+AG90+AJ90</f>
        <v>3987154884.7569427</v>
      </c>
      <c r="AM94" s="2">
        <f>+C90+F90+I90+L90+O90+R90+U90+X90+AA90+AD90+AG90+AJ90</f>
        <v>3987154884.7569427</v>
      </c>
      <c r="AN94" s="2">
        <f>+D90+G90+J90+M90+P90+S90+V90+Y90+AB90+AE90+AH90+AK90</f>
        <v>2986662586.5481601</v>
      </c>
      <c r="AO94" s="2">
        <f>+E90+H90+K90+N90+Q90+T90+W90+Z90+AC90+AF90+AI90+AL90</f>
        <v>1000492298.2087822</v>
      </c>
      <c r="AQ94" s="34"/>
      <c r="AR94" s="2"/>
      <c r="AS94" s="2"/>
      <c r="AT94" s="20"/>
      <c r="AU94" s="2"/>
      <c r="AY94" s="2"/>
      <c r="AZ94" s="2">
        <f>+AM94-AN94-AO94</f>
        <v>0</v>
      </c>
    </row>
    <row r="95" spans="1:52" x14ac:dyDescent="0.25">
      <c r="B95" s="2"/>
      <c r="C95" s="2"/>
      <c r="F95" s="2"/>
      <c r="G95" s="2"/>
      <c r="H95" s="2"/>
      <c r="I95" s="2"/>
      <c r="J95" s="2"/>
      <c r="K95" s="2"/>
      <c r="L95" s="2"/>
      <c r="N95" s="2"/>
      <c r="O95" s="2"/>
      <c r="Q95" s="2"/>
      <c r="R95" s="2"/>
      <c r="S95" s="2"/>
      <c r="T95" s="2"/>
      <c r="U95" s="2"/>
      <c r="V95" s="2"/>
      <c r="X95" s="2"/>
      <c r="Y95" s="2"/>
      <c r="Z95" s="2"/>
      <c r="AL95" s="2">
        <f>+'[11]Planeación 2025 P&amp;K (def Mod1)'!$F$160</f>
        <v>8532749985.6410627</v>
      </c>
      <c r="AM95" s="2">
        <f>+AM94-AM90</f>
        <v>0</v>
      </c>
      <c r="AN95" s="2">
        <f>+AN94-AN90</f>
        <v>0</v>
      </c>
      <c r="AO95" s="2">
        <f>+AO94-AO90</f>
        <v>0</v>
      </c>
      <c r="AQ95" s="34"/>
      <c r="AR95" s="47"/>
      <c r="AS95" s="2"/>
      <c r="AT95" s="20"/>
      <c r="AU95" s="2"/>
      <c r="AY95" s="2"/>
      <c r="AZ95" s="2">
        <f t="shared" si="97"/>
        <v>0</v>
      </c>
    </row>
    <row r="96" spans="1:52" x14ac:dyDescent="0.25">
      <c r="B96" s="2"/>
      <c r="C96" s="2"/>
      <c r="F96" s="2"/>
      <c r="I96" s="2"/>
      <c r="L96" s="2"/>
      <c r="O96" s="2"/>
      <c r="R96" s="2"/>
      <c r="U96" s="2"/>
      <c r="X96" s="2"/>
      <c r="Y96" s="2"/>
      <c r="Z96" s="2"/>
      <c r="AA96" s="2"/>
      <c r="AD96" s="2"/>
      <c r="AG96" s="2"/>
      <c r="AL96" s="2">
        <f>+AL95-AL94</f>
        <v>4545595100.88412</v>
      </c>
      <c r="AM96" s="2"/>
      <c r="AN96" s="2"/>
      <c r="AO96" s="3"/>
      <c r="AQ96" s="34"/>
      <c r="AR96" s="2"/>
      <c r="AS96" s="2"/>
      <c r="AT96" s="20"/>
      <c r="AY96" s="2"/>
      <c r="AZ96" s="2">
        <f t="shared" si="97"/>
        <v>0</v>
      </c>
    </row>
    <row r="97" spans="2:52" x14ac:dyDescent="0.25">
      <c r="B97" s="2"/>
      <c r="L97" s="2"/>
      <c r="O97" s="3"/>
      <c r="R97" s="2"/>
      <c r="U97" s="2"/>
      <c r="X97" s="2"/>
      <c r="Y97" s="2"/>
      <c r="Z97" s="2"/>
      <c r="AD97" s="2"/>
      <c r="AM97" s="2"/>
      <c r="AN97" s="2"/>
      <c r="AO97" s="2"/>
      <c r="AQ97" s="34"/>
      <c r="AR97" s="2"/>
      <c r="AS97" s="2"/>
      <c r="AT97" s="20"/>
      <c r="AY97" s="2"/>
      <c r="AZ97" s="2">
        <f t="shared" si="97"/>
        <v>0</v>
      </c>
    </row>
    <row r="98" spans="2:52" x14ac:dyDescent="0.25">
      <c r="B98" s="2"/>
      <c r="X98" s="2"/>
      <c r="Y98" s="2"/>
      <c r="Z98" s="2"/>
      <c r="AA98" s="2"/>
      <c r="AM98" s="2"/>
      <c r="AN98" s="2"/>
      <c r="AO98" s="2"/>
      <c r="AQ98" s="34"/>
      <c r="AS98" s="2"/>
      <c r="AT98" s="2"/>
      <c r="AY98" s="2"/>
      <c r="AZ98" s="2">
        <f t="shared" si="97"/>
        <v>0</v>
      </c>
    </row>
    <row r="99" spans="2:52" hidden="1" x14ac:dyDescent="0.25">
      <c r="B99" s="2"/>
      <c r="D99" s="2"/>
      <c r="E99" s="2"/>
      <c r="F99" s="2"/>
      <c r="X99" s="2"/>
      <c r="Y99" s="2"/>
      <c r="Z99" s="2"/>
      <c r="AM99" s="2"/>
      <c r="AN99" s="2"/>
      <c r="AO99" s="3"/>
      <c r="AQ99" s="34"/>
      <c r="AS99" s="2"/>
      <c r="AT99" s="2"/>
      <c r="AY99" s="2"/>
      <c r="AZ99" s="2">
        <f t="shared" si="97"/>
        <v>0</v>
      </c>
    </row>
    <row r="100" spans="2:52" hidden="1" x14ac:dyDescent="0.25">
      <c r="B100" s="2"/>
      <c r="C100" s="3"/>
      <c r="D100" s="3"/>
      <c r="E100" s="42"/>
      <c r="AN100" s="2"/>
      <c r="AO100" s="24"/>
      <c r="AQ100" s="34"/>
      <c r="AS100" s="2"/>
      <c r="AY100" s="2"/>
      <c r="AZ100" s="2">
        <f t="shared" si="97"/>
        <v>0</v>
      </c>
    </row>
    <row r="101" spans="2:52" hidden="1" x14ac:dyDescent="0.25">
      <c r="D101" s="2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N101" s="2"/>
      <c r="AQ101" s="34"/>
      <c r="AS101" s="2"/>
      <c r="AY101" s="2"/>
      <c r="AZ101" s="2">
        <f t="shared" si="97"/>
        <v>0</v>
      </c>
    </row>
    <row r="102" spans="2:52" hidden="1" x14ac:dyDescent="0.25">
      <c r="Y102" s="24"/>
      <c r="AA102" s="100"/>
      <c r="AB102" s="100"/>
      <c r="AC102" s="100"/>
      <c r="AD102" s="100"/>
      <c r="AE102" s="100"/>
      <c r="AF102" s="100"/>
      <c r="AG102" s="99"/>
      <c r="AH102" s="99"/>
      <c r="AI102" s="99"/>
      <c r="AJ102" s="99"/>
      <c r="AM102" s="20"/>
      <c r="AQ102" s="34"/>
      <c r="AS102" s="2"/>
      <c r="AY102" s="2"/>
      <c r="AZ102" s="2">
        <f t="shared" si="97"/>
        <v>0</v>
      </c>
    </row>
    <row r="103" spans="2:52" hidden="1" x14ac:dyDescent="0.25">
      <c r="D103" s="2"/>
      <c r="Y103" s="24"/>
      <c r="AA103" s="197"/>
      <c r="AB103" s="197"/>
      <c r="AC103" s="197"/>
      <c r="AD103" s="197"/>
      <c r="AE103" s="197"/>
      <c r="AF103" s="197"/>
      <c r="AG103" s="197"/>
      <c r="AH103" s="197"/>
      <c r="AI103" s="197"/>
      <c r="AJ103" s="197"/>
      <c r="AK103" s="52"/>
      <c r="AL103" s="52"/>
      <c r="AM103" s="20"/>
      <c r="AQ103" s="34"/>
      <c r="AS103" s="2"/>
      <c r="AY103" s="2"/>
      <c r="AZ103" s="2">
        <f t="shared" si="97"/>
        <v>0</v>
      </c>
    </row>
    <row r="104" spans="2:52" hidden="1" x14ac:dyDescent="0.25"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M104" s="2"/>
      <c r="AQ104" s="34"/>
      <c r="AY104" s="2"/>
      <c r="AZ104" s="2">
        <f t="shared" si="97"/>
        <v>0</v>
      </c>
    </row>
    <row r="105" spans="2:52" hidden="1" x14ac:dyDescent="0.25">
      <c r="B105" s="152">
        <f>+[13]EjecucionPptalPasiva!$D$11</f>
        <v>6709964627</v>
      </c>
      <c r="C105" s="152">
        <f>+[7]Ppto!$Y$166</f>
        <v>437569994.49185961</v>
      </c>
      <c r="D105" s="152"/>
      <c r="AQ105" s="34"/>
      <c r="AY105" s="2"/>
      <c r="AZ105" s="2">
        <f t="shared" si="97"/>
        <v>0</v>
      </c>
    </row>
    <row r="106" spans="2:52" hidden="1" x14ac:dyDescent="0.25">
      <c r="B106" s="152"/>
      <c r="C106" s="152"/>
      <c r="D106" s="152"/>
      <c r="P106" s="2"/>
      <c r="AJ106" s="2"/>
      <c r="AM106" s="2"/>
      <c r="AQ106" s="34"/>
      <c r="AY106" s="2"/>
      <c r="AZ106" s="2">
        <f t="shared" si="97"/>
        <v>0</v>
      </c>
    </row>
    <row r="107" spans="2:52" hidden="1" x14ac:dyDescent="0.25">
      <c r="B107" s="152">
        <f>+B105-B90</f>
        <v>-0.44000053405761719</v>
      </c>
      <c r="C107" s="152">
        <f>+C105-C90</f>
        <v>-4.8070549964904785E-3</v>
      </c>
      <c r="D107" s="152"/>
      <c r="AM107" s="2"/>
      <c r="AQ107" s="34"/>
      <c r="AY107" s="2"/>
      <c r="AZ107" s="2">
        <f t="shared" si="97"/>
        <v>0</v>
      </c>
    </row>
    <row r="108" spans="2:52" hidden="1" x14ac:dyDescent="0.25">
      <c r="B108" s="152"/>
      <c r="C108" s="152"/>
      <c r="D108" s="152"/>
      <c r="AG108" s="2"/>
      <c r="AQ108" s="34"/>
      <c r="AY108" s="2"/>
      <c r="AZ108" s="2">
        <f t="shared" si="97"/>
        <v>0</v>
      </c>
    </row>
    <row r="109" spans="2:52" hidden="1" x14ac:dyDescent="0.25">
      <c r="B109" s="152"/>
      <c r="C109" s="152"/>
      <c r="D109" s="152"/>
      <c r="AD109" s="2"/>
      <c r="AQ109" s="34"/>
      <c r="AY109" s="2"/>
      <c r="AZ109" s="2">
        <f t="shared" si="97"/>
        <v>0</v>
      </c>
    </row>
    <row r="110" spans="2:52" hidden="1" x14ac:dyDescent="0.25">
      <c r="C110" s="3"/>
      <c r="F110" s="3"/>
      <c r="I110" s="3"/>
      <c r="L110" s="3"/>
      <c r="AM110" s="2"/>
      <c r="AN110" s="2"/>
      <c r="AQ110" s="34"/>
      <c r="AY110" s="2"/>
      <c r="AZ110" s="2">
        <f t="shared" si="97"/>
        <v>0</v>
      </c>
    </row>
    <row r="111" spans="2:52" hidden="1" x14ac:dyDescent="0.25">
      <c r="AN111" s="2"/>
      <c r="AQ111" s="34"/>
      <c r="AY111" s="2"/>
      <c r="AZ111" s="2">
        <f t="shared" si="97"/>
        <v>0</v>
      </c>
    </row>
    <row r="112" spans="2:52" x14ac:dyDescent="0.25">
      <c r="AM112" s="2"/>
      <c r="AQ112" s="34"/>
      <c r="AY112" s="2"/>
      <c r="AZ112" s="2">
        <f t="shared" si="97"/>
        <v>0</v>
      </c>
    </row>
    <row r="113" spans="33:52" x14ac:dyDescent="0.25">
      <c r="AQ113" s="34"/>
      <c r="AY113" s="2"/>
      <c r="AZ113" s="2">
        <f t="shared" si="97"/>
        <v>0</v>
      </c>
    </row>
    <row r="114" spans="33:52" x14ac:dyDescent="0.25">
      <c r="AQ114" s="34"/>
      <c r="AY114" s="2"/>
      <c r="AZ114" s="2">
        <f t="shared" si="97"/>
        <v>0</v>
      </c>
    </row>
    <row r="115" spans="33:52" x14ac:dyDescent="0.25">
      <c r="AM115" s="24"/>
      <c r="AQ115" s="34"/>
      <c r="AY115" s="2"/>
      <c r="AZ115" s="2">
        <f t="shared" si="97"/>
        <v>0</v>
      </c>
    </row>
    <row r="116" spans="33:52" x14ac:dyDescent="0.25">
      <c r="AQ116" s="34"/>
      <c r="AY116" s="2"/>
      <c r="AZ116" s="2">
        <f t="shared" si="97"/>
        <v>0</v>
      </c>
    </row>
    <row r="117" spans="33:52" x14ac:dyDescent="0.25">
      <c r="AQ117" s="34"/>
      <c r="AY117" s="2"/>
      <c r="AZ117" s="2">
        <f t="shared" si="97"/>
        <v>0</v>
      </c>
    </row>
    <row r="118" spans="33:52" x14ac:dyDescent="0.25">
      <c r="AQ118" s="34"/>
      <c r="AY118" s="2"/>
      <c r="AZ118" s="2">
        <f t="shared" si="97"/>
        <v>0</v>
      </c>
    </row>
    <row r="119" spans="33:52" x14ac:dyDescent="0.25">
      <c r="AQ119" s="34"/>
      <c r="AY119" s="2"/>
      <c r="AZ119" s="2">
        <f t="shared" si="97"/>
        <v>0</v>
      </c>
    </row>
    <row r="120" spans="33:52" x14ac:dyDescent="0.25">
      <c r="AG120" s="2"/>
      <c r="AY120" s="2"/>
      <c r="AZ120" s="2">
        <f t="shared" si="97"/>
        <v>0</v>
      </c>
    </row>
    <row r="121" spans="33:52" x14ac:dyDescent="0.25">
      <c r="AG121" s="2"/>
      <c r="AY121" s="2"/>
      <c r="AZ121" s="2">
        <f t="shared" si="97"/>
        <v>0</v>
      </c>
    </row>
    <row r="122" spans="33:52" x14ac:dyDescent="0.25">
      <c r="AY122" s="2"/>
      <c r="AZ122" s="2">
        <f t="shared" si="97"/>
        <v>0</v>
      </c>
    </row>
    <row r="123" spans="33:52" x14ac:dyDescent="0.25">
      <c r="AY123" s="2"/>
      <c r="AZ123" s="2">
        <f t="shared" si="97"/>
        <v>0</v>
      </c>
    </row>
    <row r="124" spans="33:52" x14ac:dyDescent="0.25">
      <c r="AY124" s="2"/>
      <c r="AZ124" s="2">
        <f t="shared" si="97"/>
        <v>0</v>
      </c>
    </row>
    <row r="125" spans="33:52" x14ac:dyDescent="0.25">
      <c r="AY125" s="2"/>
      <c r="AZ125" s="2">
        <f t="shared" si="97"/>
        <v>0</v>
      </c>
    </row>
    <row r="126" spans="33:52" x14ac:dyDescent="0.25">
      <c r="AY126" s="2"/>
      <c r="AZ126" s="2">
        <f t="shared" si="97"/>
        <v>0</v>
      </c>
    </row>
    <row r="127" spans="33:52" x14ac:dyDescent="0.25">
      <c r="AY127" s="2"/>
      <c r="AZ127" s="2">
        <f t="shared" si="97"/>
        <v>0</v>
      </c>
    </row>
    <row r="128" spans="33:52" x14ac:dyDescent="0.25">
      <c r="AY128" s="2"/>
    </row>
    <row r="129" spans="51:51" x14ac:dyDescent="0.25">
      <c r="AY129" s="2"/>
    </row>
    <row r="130" spans="51:51" x14ac:dyDescent="0.25">
      <c r="AY130" s="2"/>
    </row>
    <row r="131" spans="51:51" x14ac:dyDescent="0.25">
      <c r="AY131" s="2"/>
    </row>
    <row r="132" spans="51:51" x14ac:dyDescent="0.25">
      <c r="AY132" s="2"/>
    </row>
    <row r="133" spans="51:51" x14ac:dyDescent="0.25">
      <c r="AY133" s="2"/>
    </row>
    <row r="134" spans="51:51" x14ac:dyDescent="0.25">
      <c r="AY134" s="2"/>
    </row>
    <row r="135" spans="51:51" x14ac:dyDescent="0.25">
      <c r="AY135" s="2"/>
    </row>
    <row r="136" spans="51:51" x14ac:dyDescent="0.25">
      <c r="AY136" s="2"/>
    </row>
    <row r="137" spans="51:51" x14ac:dyDescent="0.25">
      <c r="AY137" s="2"/>
    </row>
    <row r="138" spans="51:51" x14ac:dyDescent="0.25">
      <c r="AY138" s="2"/>
    </row>
    <row r="139" spans="51:51" x14ac:dyDescent="0.25">
      <c r="AY139" s="2"/>
    </row>
    <row r="140" spans="51:51" x14ac:dyDescent="0.25">
      <c r="AY140" s="2"/>
    </row>
    <row r="141" spans="51:51" x14ac:dyDescent="0.25">
      <c r="AY141" s="2"/>
    </row>
    <row r="142" spans="51:51" x14ac:dyDescent="0.25">
      <c r="AY142" s="2"/>
    </row>
    <row r="143" spans="51:51" x14ac:dyDescent="0.25">
      <c r="AY143" s="2"/>
    </row>
    <row r="144" spans="51:51" x14ac:dyDescent="0.25">
      <c r="AY144" s="2"/>
    </row>
    <row r="145" spans="51:51" x14ac:dyDescent="0.25">
      <c r="AY145" s="2"/>
    </row>
    <row r="146" spans="51:51" x14ac:dyDescent="0.25">
      <c r="AY146" s="2"/>
    </row>
    <row r="147" spans="51:51" x14ac:dyDescent="0.25">
      <c r="AY147" s="2"/>
    </row>
    <row r="148" spans="51:51" x14ac:dyDescent="0.25">
      <c r="AY148" s="2"/>
    </row>
    <row r="149" spans="51:51" x14ac:dyDescent="0.25">
      <c r="AY149" s="2"/>
    </row>
    <row r="150" spans="51:51" x14ac:dyDescent="0.25">
      <c r="AY150" s="2"/>
    </row>
    <row r="151" spans="51:51" x14ac:dyDescent="0.25">
      <c r="AY151" s="2"/>
    </row>
    <row r="152" spans="51:51" x14ac:dyDescent="0.25">
      <c r="AY152" s="2"/>
    </row>
    <row r="153" spans="51:51" x14ac:dyDescent="0.25">
      <c r="AY153" s="2"/>
    </row>
    <row r="154" spans="51:51" x14ac:dyDescent="0.25">
      <c r="AY154" s="2"/>
    </row>
    <row r="155" spans="51:51" x14ac:dyDescent="0.25">
      <c r="AY155" s="2"/>
    </row>
  </sheetData>
  <autoFilter ref="A5:AP91" xr:uid="{4C861BE8-7E5D-4966-A65F-7599F5FEBCAA}"/>
  <mergeCells count="16">
    <mergeCell ref="AA103:AJ103"/>
    <mergeCell ref="X4:Z4"/>
    <mergeCell ref="A1:C1"/>
    <mergeCell ref="A3:AP3"/>
    <mergeCell ref="C4:E4"/>
    <mergeCell ref="F4:H4"/>
    <mergeCell ref="AM4:AP4"/>
    <mergeCell ref="I4:K4"/>
    <mergeCell ref="L4:N4"/>
    <mergeCell ref="O4:Q4"/>
    <mergeCell ref="R4:T4"/>
    <mergeCell ref="U4:W4"/>
    <mergeCell ref="AA4:AC4"/>
    <mergeCell ref="AD4:AF4"/>
    <mergeCell ref="AG4:AI4"/>
    <mergeCell ref="AJ4:AL4"/>
  </mergeCells>
  <pageMargins left="0.39370078740157483" right="0.39370078740157483" top="0.19685039370078741" bottom="0.39370078740157483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56F0-7CB0-4EF8-A7FC-233F8338F952}">
  <dimension ref="A1:AD101"/>
  <sheetViews>
    <sheetView showGridLines="0" zoomScale="86" zoomScaleNormal="86" workbookViewId="0">
      <pane xSplit="1" ySplit="5" topLeftCell="B83" activePane="bottomRight" state="frozen"/>
      <selection pane="topRight" activeCell="B1" sqref="B1"/>
      <selection pane="bottomLeft" activeCell="A5" sqref="A5"/>
      <selection pane="bottomRight" activeCell="P28" sqref="P28"/>
    </sheetView>
  </sheetViews>
  <sheetFormatPr baseColWidth="10" defaultColWidth="11.42578125" defaultRowHeight="15" x14ac:dyDescent="0.25"/>
  <cols>
    <col min="1" max="1" width="49.28515625" customWidth="1"/>
    <col min="2" max="2" width="17.28515625" bestFit="1" customWidth="1"/>
    <col min="3" max="3" width="15.5703125" bestFit="1" customWidth="1"/>
    <col min="4" max="5" width="15.5703125" customWidth="1"/>
    <col min="6" max="6" width="16.7109375" hidden="1" customWidth="1"/>
    <col min="7" max="10" width="16.140625" hidden="1" customWidth="1"/>
    <col min="11" max="14" width="16.7109375" hidden="1" customWidth="1"/>
    <col min="15" max="15" width="16.140625" hidden="1" customWidth="1"/>
    <col min="16" max="17" width="16.140625" customWidth="1"/>
    <col min="18" max="18" width="18.42578125" bestFit="1" customWidth="1"/>
    <col min="19" max="19" width="9.5703125" bestFit="1" customWidth="1"/>
    <col min="20" max="20" width="18.42578125" bestFit="1" customWidth="1"/>
    <col min="21" max="21" width="15.85546875" bestFit="1" customWidth="1"/>
    <col min="22" max="22" width="15.85546875" customWidth="1"/>
    <col min="23" max="23" width="15.5703125" customWidth="1"/>
    <col min="24" max="24" width="17.28515625" customWidth="1"/>
    <col min="25" max="25" width="18.42578125" customWidth="1"/>
    <col min="26" max="28" width="15.5703125" customWidth="1"/>
    <col min="29" max="30" width="14" customWidth="1"/>
    <col min="31" max="31" width="11.42578125" customWidth="1"/>
  </cols>
  <sheetData>
    <row r="1" spans="1:30" x14ac:dyDescent="0.25">
      <c r="A1" s="189" t="s">
        <v>51</v>
      </c>
      <c r="B1" s="189"/>
      <c r="C1" s="189"/>
      <c r="D1" s="14"/>
      <c r="E1" s="14"/>
    </row>
    <row r="2" spans="1:30" x14ac:dyDescent="0.25">
      <c r="A2" s="14"/>
      <c r="B2" s="14"/>
      <c r="C2" s="14"/>
      <c r="D2" s="14"/>
      <c r="E2" s="14"/>
    </row>
    <row r="3" spans="1:30" ht="15.75" thickBot="1" x14ac:dyDescent="0.3">
      <c r="A3" s="190" t="s">
        <v>64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23"/>
      <c r="U3" s="23"/>
      <c r="V3" s="23"/>
    </row>
    <row r="4" spans="1:30" ht="15.75" thickBot="1" x14ac:dyDescent="0.3">
      <c r="A4" s="23"/>
      <c r="B4" s="23"/>
      <c r="C4" s="191" t="s">
        <v>105</v>
      </c>
      <c r="D4" s="192"/>
      <c r="E4" s="193"/>
      <c r="F4" s="23"/>
      <c r="G4" s="23"/>
      <c r="H4" s="23"/>
      <c r="I4" s="23"/>
      <c r="J4" s="23"/>
      <c r="K4" s="23"/>
      <c r="L4" s="23"/>
      <c r="M4" s="23"/>
      <c r="N4" s="23"/>
      <c r="O4" s="23"/>
      <c r="P4" s="194" t="s">
        <v>48</v>
      </c>
      <c r="Q4" s="195"/>
      <c r="R4" s="195"/>
      <c r="S4" s="196"/>
      <c r="T4" s="23"/>
      <c r="U4" s="23"/>
      <c r="V4" s="23"/>
    </row>
    <row r="5" spans="1:30" s="19" customFormat="1" ht="30" x14ac:dyDescent="0.25">
      <c r="A5" s="16" t="s">
        <v>50</v>
      </c>
      <c r="B5" s="17" t="s">
        <v>63</v>
      </c>
      <c r="C5" s="17" t="s">
        <v>40</v>
      </c>
      <c r="D5" s="17" t="s">
        <v>99</v>
      </c>
      <c r="E5" s="17" t="s">
        <v>100</v>
      </c>
      <c r="F5" s="17" t="s">
        <v>42</v>
      </c>
      <c r="G5" s="17" t="s">
        <v>43</v>
      </c>
      <c r="H5" s="17" t="s">
        <v>44</v>
      </c>
      <c r="I5" s="17" t="s">
        <v>6</v>
      </c>
      <c r="J5" s="17" t="s">
        <v>5</v>
      </c>
      <c r="K5" s="17" t="s">
        <v>45</v>
      </c>
      <c r="L5" s="17" t="s">
        <v>46</v>
      </c>
      <c r="M5" s="17" t="s">
        <v>47</v>
      </c>
      <c r="N5" s="17" t="s">
        <v>4</v>
      </c>
      <c r="O5" s="17" t="s">
        <v>3</v>
      </c>
      <c r="P5" s="28" t="s">
        <v>102</v>
      </c>
      <c r="Q5" s="28" t="s">
        <v>103</v>
      </c>
      <c r="R5" s="28" t="s">
        <v>104</v>
      </c>
      <c r="S5" s="18" t="s">
        <v>49</v>
      </c>
      <c r="T5" s="33"/>
      <c r="U5" s="33"/>
      <c r="V5" s="33"/>
    </row>
    <row r="6" spans="1:30" x14ac:dyDescent="0.25">
      <c r="A6" s="5" t="s">
        <v>94</v>
      </c>
      <c r="B6" s="4">
        <v>116980329</v>
      </c>
      <c r="C6" s="4">
        <v>0</v>
      </c>
      <c r="D6" s="4">
        <v>0</v>
      </c>
      <c r="E6" s="4">
        <f>+C6-D6</f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>
        <f t="shared" ref="P6:R11" si="0">+C6</f>
        <v>0</v>
      </c>
      <c r="Q6" s="4">
        <f t="shared" si="0"/>
        <v>0</v>
      </c>
      <c r="R6" s="6">
        <f t="shared" si="0"/>
        <v>0</v>
      </c>
      <c r="S6" s="29">
        <v>0</v>
      </c>
      <c r="T6" s="34"/>
      <c r="U6" s="34"/>
      <c r="V6" s="34"/>
      <c r="W6" s="2"/>
      <c r="X6" s="2"/>
    </row>
    <row r="7" spans="1:30" x14ac:dyDescent="0.25">
      <c r="A7" s="5" t="s">
        <v>95</v>
      </c>
      <c r="B7" s="4">
        <v>727688079.04725444</v>
      </c>
      <c r="C7" s="4">
        <v>0</v>
      </c>
      <c r="D7" s="4">
        <v>0</v>
      </c>
      <c r="E7" s="4">
        <f t="shared" ref="E7:E22" si="1">+C7-D7</f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>
        <f t="shared" si="0"/>
        <v>0</v>
      </c>
      <c r="Q7" s="4">
        <f t="shared" si="0"/>
        <v>0</v>
      </c>
      <c r="R7" s="6">
        <f t="shared" si="0"/>
        <v>0</v>
      </c>
      <c r="S7" s="29">
        <v>0</v>
      </c>
      <c r="T7" s="34"/>
      <c r="U7" s="34"/>
      <c r="V7" s="34"/>
      <c r="W7" s="2"/>
      <c r="X7" s="2"/>
    </row>
    <row r="8" spans="1:30" x14ac:dyDescent="0.25">
      <c r="A8" s="5" t="s">
        <v>96</v>
      </c>
      <c r="B8" s="4">
        <v>1460371848</v>
      </c>
      <c r="C8" s="4">
        <v>0</v>
      </c>
      <c r="D8" s="4">
        <v>0</v>
      </c>
      <c r="E8" s="4">
        <f t="shared" si="1"/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>
        <f t="shared" si="0"/>
        <v>0</v>
      </c>
      <c r="Q8" s="4">
        <f t="shared" si="0"/>
        <v>0</v>
      </c>
      <c r="R8" s="6">
        <f t="shared" si="0"/>
        <v>0</v>
      </c>
      <c r="S8" s="29">
        <v>0</v>
      </c>
      <c r="T8" s="34"/>
      <c r="U8" s="34"/>
      <c r="V8" s="34"/>
      <c r="W8" s="2"/>
      <c r="X8" s="2"/>
    </row>
    <row r="9" spans="1:30" x14ac:dyDescent="0.25">
      <c r="A9" s="5" t="s">
        <v>97</v>
      </c>
      <c r="B9" s="4">
        <v>384000000</v>
      </c>
      <c r="C9" s="4">
        <v>32000000</v>
      </c>
      <c r="D9" s="4">
        <v>35018397.310000002</v>
      </c>
      <c r="E9" s="4">
        <f t="shared" si="1"/>
        <v>-3018397.3100000024</v>
      </c>
      <c r="F9" s="4"/>
      <c r="G9" s="4"/>
      <c r="H9" s="4"/>
      <c r="I9" s="4"/>
      <c r="J9" s="4"/>
      <c r="K9" s="4"/>
      <c r="L9" s="4"/>
      <c r="M9" s="4"/>
      <c r="N9" s="4"/>
      <c r="O9" s="4"/>
      <c r="P9" s="4">
        <f t="shared" si="0"/>
        <v>32000000</v>
      </c>
      <c r="Q9" s="4">
        <f t="shared" si="0"/>
        <v>35018397.310000002</v>
      </c>
      <c r="R9" s="6">
        <f t="shared" si="0"/>
        <v>-3018397.3100000024</v>
      </c>
      <c r="S9" s="43">
        <f>+R9/P9*100</f>
        <v>-9.432491593750008</v>
      </c>
      <c r="T9" s="34"/>
      <c r="U9" s="34"/>
      <c r="V9" s="34"/>
      <c r="W9" s="2"/>
      <c r="X9" s="2"/>
    </row>
    <row r="10" spans="1:30" x14ac:dyDescent="0.25">
      <c r="A10" s="5" t="s">
        <v>101</v>
      </c>
      <c r="B10" s="4">
        <v>0</v>
      </c>
      <c r="C10" s="4">
        <v>0</v>
      </c>
      <c r="D10" s="4">
        <v>0</v>
      </c>
      <c r="E10" s="4">
        <f t="shared" si="1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f t="shared" si="0"/>
        <v>0</v>
      </c>
      <c r="Q10" s="4">
        <f t="shared" si="0"/>
        <v>0</v>
      </c>
      <c r="R10" s="6">
        <f t="shared" si="0"/>
        <v>0</v>
      </c>
      <c r="S10" s="30" t="e">
        <f>+R10/P10*100</f>
        <v>#DIV/0!</v>
      </c>
      <c r="T10" s="34"/>
      <c r="U10" s="34"/>
      <c r="V10" s="34"/>
      <c r="W10" s="2"/>
      <c r="X10" s="2"/>
    </row>
    <row r="11" spans="1:30" x14ac:dyDescent="0.25">
      <c r="A11" s="26" t="s">
        <v>98</v>
      </c>
      <c r="B11" s="4">
        <v>1744961750</v>
      </c>
      <c r="C11" s="4">
        <v>348992350</v>
      </c>
      <c r="D11" s="4">
        <v>0</v>
      </c>
      <c r="E11" s="4">
        <f t="shared" si="1"/>
        <v>348992350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f t="shared" si="0"/>
        <v>348992350</v>
      </c>
      <c r="Q11" s="4">
        <f t="shared" si="0"/>
        <v>0</v>
      </c>
      <c r="R11" s="6">
        <f t="shared" si="0"/>
        <v>348992350</v>
      </c>
      <c r="S11" s="30">
        <f>+R11/P11*100</f>
        <v>100</v>
      </c>
      <c r="T11" s="34"/>
      <c r="U11" s="34"/>
      <c r="V11" s="34"/>
      <c r="W11" s="2"/>
      <c r="X11" s="2"/>
    </row>
    <row r="12" spans="1:30" ht="18.75" x14ac:dyDescent="0.3">
      <c r="A12" s="11" t="s">
        <v>2</v>
      </c>
      <c r="B12" s="7">
        <f>SUM(B6:B11)</f>
        <v>4434002006.0472546</v>
      </c>
      <c r="C12" s="7">
        <f t="shared" ref="C12:R12" si="2">SUM(C6:C11)</f>
        <v>380992350</v>
      </c>
      <c r="D12" s="7">
        <f t="shared" si="2"/>
        <v>35018397.310000002</v>
      </c>
      <c r="E12" s="7">
        <f t="shared" si="2"/>
        <v>345973952.69</v>
      </c>
      <c r="F12" s="7">
        <f t="shared" si="2"/>
        <v>0</v>
      </c>
      <c r="G12" s="7">
        <f t="shared" si="2"/>
        <v>0</v>
      </c>
      <c r="H12" s="7">
        <f t="shared" si="2"/>
        <v>0</v>
      </c>
      <c r="I12" s="7">
        <f t="shared" si="2"/>
        <v>0</v>
      </c>
      <c r="J12" s="7">
        <f t="shared" si="2"/>
        <v>0</v>
      </c>
      <c r="K12" s="7">
        <f t="shared" si="2"/>
        <v>0</v>
      </c>
      <c r="L12" s="7">
        <f t="shared" si="2"/>
        <v>0</v>
      </c>
      <c r="M12" s="7">
        <f t="shared" si="2"/>
        <v>0</v>
      </c>
      <c r="N12" s="7">
        <f t="shared" si="2"/>
        <v>0</v>
      </c>
      <c r="O12" s="7">
        <f t="shared" si="2"/>
        <v>0</v>
      </c>
      <c r="P12" s="7">
        <f t="shared" si="2"/>
        <v>380992350</v>
      </c>
      <c r="Q12" s="7">
        <f t="shared" si="2"/>
        <v>35018397.310000002</v>
      </c>
      <c r="R12" s="7">
        <f t="shared" si="2"/>
        <v>345973952.69</v>
      </c>
      <c r="S12" s="31">
        <f>+R12/P12</f>
        <v>0.90808635052646069</v>
      </c>
      <c r="T12" s="34"/>
      <c r="U12" s="35"/>
      <c r="V12" s="35"/>
      <c r="W12" s="2"/>
      <c r="X12" s="2"/>
    </row>
    <row r="13" spans="1:30" x14ac:dyDescent="0.25">
      <c r="A13" s="5" t="s">
        <v>36</v>
      </c>
      <c r="B13" s="4">
        <v>878588056</v>
      </c>
      <c r="C13" s="4">
        <v>73215671.330134079</v>
      </c>
      <c r="D13" s="4">
        <v>86122604.719999999</v>
      </c>
      <c r="E13" s="4">
        <f t="shared" si="1"/>
        <v>-12906933.38986592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>
        <f t="shared" ref="P13:R19" si="3">+C13</f>
        <v>73215671.330134079</v>
      </c>
      <c r="Q13" s="4">
        <f t="shared" si="3"/>
        <v>86122604.719999999</v>
      </c>
      <c r="R13" s="6">
        <f t="shared" si="3"/>
        <v>-12906933.38986592</v>
      </c>
      <c r="S13" s="43">
        <f>+R13/P13*100</f>
        <v>-17.628648560316744</v>
      </c>
      <c r="T13" s="34"/>
      <c r="U13" s="36"/>
      <c r="V13" s="36"/>
      <c r="W13" s="2"/>
      <c r="X13" s="2"/>
    </row>
    <row r="14" spans="1:30" ht="60" x14ac:dyDescent="0.25">
      <c r="A14" s="21" t="s">
        <v>65</v>
      </c>
      <c r="B14" s="4">
        <v>21060000</v>
      </c>
      <c r="C14" s="4">
        <v>7020000</v>
      </c>
      <c r="D14" s="4">
        <v>0</v>
      </c>
      <c r="E14" s="4">
        <f t="shared" si="1"/>
        <v>7020000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>
        <f t="shared" si="3"/>
        <v>7020000</v>
      </c>
      <c r="Q14" s="4">
        <f t="shared" si="3"/>
        <v>0</v>
      </c>
      <c r="R14" s="6">
        <f t="shared" si="3"/>
        <v>7020000</v>
      </c>
      <c r="S14" s="43">
        <f t="shared" ref="S14:S22" si="4">+R14/P14*100</f>
        <v>100</v>
      </c>
      <c r="T14" s="34"/>
      <c r="U14" s="36"/>
      <c r="V14" s="36"/>
      <c r="W14" s="2"/>
      <c r="X14" s="2"/>
    </row>
    <row r="15" spans="1:30" x14ac:dyDescent="0.25">
      <c r="A15" s="5" t="s">
        <v>9</v>
      </c>
      <c r="B15" s="4">
        <f>1981048858-52905201</f>
        <v>1928143657</v>
      </c>
      <c r="C15" s="4">
        <v>27833200</v>
      </c>
      <c r="D15" s="4">
        <v>5039883</v>
      </c>
      <c r="E15" s="4">
        <f t="shared" si="1"/>
        <v>22793317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>
        <f t="shared" si="3"/>
        <v>27833200</v>
      </c>
      <c r="Q15" s="4">
        <f t="shared" si="3"/>
        <v>5039883</v>
      </c>
      <c r="R15" s="6">
        <f t="shared" si="3"/>
        <v>22793317</v>
      </c>
      <c r="S15" s="43">
        <f t="shared" si="4"/>
        <v>81.892549185864354</v>
      </c>
      <c r="T15" s="34"/>
      <c r="U15" s="36"/>
      <c r="V15" s="36"/>
      <c r="W15" s="2"/>
      <c r="X15" s="37"/>
      <c r="Y15" s="20"/>
      <c r="Z15" s="20"/>
      <c r="AA15" s="20"/>
      <c r="AB15" s="20"/>
      <c r="AC15" s="20"/>
      <c r="AD15" s="20"/>
    </row>
    <row r="16" spans="1:30" x14ac:dyDescent="0.25">
      <c r="A16" s="5" t="s">
        <v>8</v>
      </c>
      <c r="B16" s="4">
        <f>2106159750</f>
        <v>2106159750</v>
      </c>
      <c r="C16" s="4">
        <v>365592350</v>
      </c>
      <c r="D16" s="4">
        <v>125855</v>
      </c>
      <c r="E16" s="4">
        <f t="shared" si="1"/>
        <v>365466495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>
        <f t="shared" si="3"/>
        <v>365592350</v>
      </c>
      <c r="Q16" s="4">
        <f t="shared" si="3"/>
        <v>125855</v>
      </c>
      <c r="R16" s="6">
        <f t="shared" si="3"/>
        <v>365466495</v>
      </c>
      <c r="S16" s="43">
        <f t="shared" si="4"/>
        <v>99.965575045539111</v>
      </c>
      <c r="T16" s="34"/>
      <c r="U16" s="36"/>
      <c r="V16" s="2"/>
      <c r="X16" s="37"/>
      <c r="Y16" s="20"/>
      <c r="Z16" s="20"/>
      <c r="AA16" s="20"/>
      <c r="AB16" s="20"/>
      <c r="AC16" s="20"/>
      <c r="AD16" s="20"/>
    </row>
    <row r="17" spans="1:30" x14ac:dyDescent="0.25">
      <c r="A17" s="5" t="s">
        <v>10</v>
      </c>
      <c r="B17" s="4">
        <f>360000000+14000000</f>
        <v>374000000</v>
      </c>
      <c r="C17" s="4">
        <v>0</v>
      </c>
      <c r="D17" s="4">
        <v>0</v>
      </c>
      <c r="E17" s="4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>
        <f t="shared" si="3"/>
        <v>0</v>
      </c>
      <c r="Q17" s="4">
        <f t="shared" si="3"/>
        <v>0</v>
      </c>
      <c r="R17" s="6">
        <f t="shared" si="3"/>
        <v>0</v>
      </c>
      <c r="S17" s="43">
        <v>0</v>
      </c>
      <c r="T17" s="34"/>
      <c r="U17" s="36"/>
      <c r="V17" s="36"/>
      <c r="W17" s="2"/>
      <c r="X17" s="37"/>
      <c r="Y17" s="20"/>
      <c r="Z17" s="20"/>
      <c r="AA17" s="20"/>
      <c r="AB17" s="20"/>
      <c r="AC17" s="20"/>
      <c r="AD17" s="20"/>
    </row>
    <row r="18" spans="1:30" x14ac:dyDescent="0.25">
      <c r="A18" s="5" t="s">
        <v>11</v>
      </c>
      <c r="B18" s="4">
        <f>744342859-14000000</f>
        <v>730342859</v>
      </c>
      <c r="C18" s="4">
        <v>48866667</v>
      </c>
      <c r="D18" s="4">
        <v>0</v>
      </c>
      <c r="E18" s="4">
        <f t="shared" si="1"/>
        <v>48866667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f t="shared" si="3"/>
        <v>48866667</v>
      </c>
      <c r="Q18" s="4">
        <f t="shared" si="3"/>
        <v>0</v>
      </c>
      <c r="R18" s="6">
        <f t="shared" si="3"/>
        <v>48866667</v>
      </c>
      <c r="S18" s="43">
        <f t="shared" si="4"/>
        <v>100</v>
      </c>
      <c r="T18" s="34"/>
      <c r="U18" s="36"/>
      <c r="V18" s="36"/>
      <c r="W18" s="2"/>
      <c r="X18" s="37"/>
      <c r="Y18" s="20"/>
      <c r="Z18" s="20"/>
      <c r="AA18" s="20"/>
      <c r="AB18" s="20"/>
      <c r="AC18" s="20"/>
      <c r="AD18" s="20"/>
    </row>
    <row r="19" spans="1:30" x14ac:dyDescent="0.25">
      <c r="A19" s="5" t="s">
        <v>12</v>
      </c>
      <c r="B19" s="4">
        <f>389605000+1000000</f>
        <v>390605000</v>
      </c>
      <c r="C19" s="4">
        <v>6650000</v>
      </c>
      <c r="D19" s="4">
        <v>1781552</v>
      </c>
      <c r="E19" s="4">
        <f t="shared" si="1"/>
        <v>4868448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f t="shared" si="3"/>
        <v>6650000</v>
      </c>
      <c r="Q19" s="4">
        <f t="shared" si="3"/>
        <v>1781552</v>
      </c>
      <c r="R19" s="6">
        <f t="shared" si="3"/>
        <v>4868448</v>
      </c>
      <c r="S19" s="43">
        <f t="shared" si="4"/>
        <v>73.209744360902249</v>
      </c>
      <c r="T19" s="34"/>
      <c r="U19" s="36"/>
      <c r="V19" s="36"/>
      <c r="W19" s="2"/>
      <c r="X19" s="37"/>
      <c r="Y19" s="20"/>
      <c r="Z19" s="20"/>
      <c r="AA19" s="20"/>
      <c r="AB19" s="20"/>
      <c r="AC19" s="20"/>
      <c r="AD19" s="20"/>
    </row>
    <row r="20" spans="1:30" x14ac:dyDescent="0.25">
      <c r="A20" s="12" t="s">
        <v>13</v>
      </c>
      <c r="B20" s="8">
        <f t="shared" ref="B20:R20" si="5">SUM(B13:B19)</f>
        <v>6428899322</v>
      </c>
      <c r="C20" s="8">
        <f t="shared" si="5"/>
        <v>529177888.33013409</v>
      </c>
      <c r="D20" s="8">
        <f t="shared" si="5"/>
        <v>93069894.719999999</v>
      </c>
      <c r="E20" s="8">
        <f t="shared" si="5"/>
        <v>436107993.61013407</v>
      </c>
      <c r="F20" s="8">
        <f t="shared" si="5"/>
        <v>0</v>
      </c>
      <c r="G20" s="8">
        <f t="shared" si="5"/>
        <v>0</v>
      </c>
      <c r="H20" s="8">
        <f t="shared" si="5"/>
        <v>0</v>
      </c>
      <c r="I20" s="8">
        <f t="shared" si="5"/>
        <v>0</v>
      </c>
      <c r="J20" s="8">
        <f t="shared" si="5"/>
        <v>0</v>
      </c>
      <c r="K20" s="8">
        <f t="shared" si="5"/>
        <v>0</v>
      </c>
      <c r="L20" s="8">
        <f t="shared" si="5"/>
        <v>0</v>
      </c>
      <c r="M20" s="8">
        <f t="shared" si="5"/>
        <v>0</v>
      </c>
      <c r="N20" s="8">
        <f t="shared" si="5"/>
        <v>0</v>
      </c>
      <c r="O20" s="8">
        <f t="shared" si="5"/>
        <v>0</v>
      </c>
      <c r="P20" s="8">
        <f t="shared" si="5"/>
        <v>529177888.33013409</v>
      </c>
      <c r="Q20" s="8">
        <f t="shared" si="5"/>
        <v>93069894.719999999</v>
      </c>
      <c r="R20" s="8">
        <f t="shared" si="5"/>
        <v>436107993.61013407</v>
      </c>
      <c r="S20" s="31">
        <f>+R20/P20</f>
        <v>0.82412361367991016</v>
      </c>
      <c r="T20" s="34"/>
      <c r="U20" s="35"/>
      <c r="V20" s="35"/>
      <c r="W20" s="2"/>
      <c r="Y20" s="20"/>
      <c r="Z20" s="20"/>
      <c r="AA20" s="20"/>
      <c r="AB20" s="20"/>
    </row>
    <row r="21" spans="1:30" x14ac:dyDescent="0.25">
      <c r="A21" s="5" t="s">
        <v>35</v>
      </c>
      <c r="B21" s="4">
        <v>40627002</v>
      </c>
      <c r="C21" s="27">
        <v>3385583.5765486476</v>
      </c>
      <c r="D21" s="4">
        <v>3565471</v>
      </c>
      <c r="E21" s="4">
        <f t="shared" si="1"/>
        <v>-179887.4234513524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f t="shared" ref="P21:R22" si="6">+C21</f>
        <v>3385583.5765486476</v>
      </c>
      <c r="Q21" s="4">
        <f t="shared" si="6"/>
        <v>3565471</v>
      </c>
      <c r="R21" s="6">
        <f t="shared" si="6"/>
        <v>-179887.4234513524</v>
      </c>
      <c r="S21" s="43">
        <f t="shared" si="4"/>
        <v>-5.3133357775422088</v>
      </c>
      <c r="T21" s="34"/>
      <c r="U21" s="38"/>
      <c r="V21" s="38"/>
      <c r="W21" s="2"/>
      <c r="Y21" s="20"/>
      <c r="Z21" s="20"/>
      <c r="AA21" s="20"/>
      <c r="AB21" s="20"/>
    </row>
    <row r="22" spans="1:30" x14ac:dyDescent="0.25">
      <c r="A22" s="5" t="s">
        <v>14</v>
      </c>
      <c r="B22" s="4">
        <v>17458000</v>
      </c>
      <c r="C22" s="4">
        <v>3250000</v>
      </c>
      <c r="D22" s="4">
        <v>31735</v>
      </c>
      <c r="E22" s="4">
        <f t="shared" si="1"/>
        <v>3218265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>
        <f t="shared" si="6"/>
        <v>3250000</v>
      </c>
      <c r="Q22" s="4">
        <f t="shared" si="6"/>
        <v>31735</v>
      </c>
      <c r="R22" s="6">
        <f t="shared" si="6"/>
        <v>3218265</v>
      </c>
      <c r="S22" s="43">
        <f t="shared" si="4"/>
        <v>99.023538461538465</v>
      </c>
      <c r="T22" s="34"/>
      <c r="U22" s="38"/>
      <c r="V22" s="38"/>
      <c r="W22" s="2"/>
      <c r="Y22" s="20"/>
      <c r="Z22" s="20"/>
      <c r="AA22" s="20"/>
      <c r="AB22" s="20"/>
    </row>
    <row r="23" spans="1:30" x14ac:dyDescent="0.25">
      <c r="A23" s="12" t="s">
        <v>15</v>
      </c>
      <c r="B23" s="8">
        <f t="shared" ref="B23:R23" si="7">SUM(B21:B22)</f>
        <v>58085002</v>
      </c>
      <c r="C23" s="8">
        <f t="shared" si="7"/>
        <v>6635583.5765486471</v>
      </c>
      <c r="D23" s="8">
        <f t="shared" si="7"/>
        <v>3597206</v>
      </c>
      <c r="E23" s="8">
        <f t="shared" si="7"/>
        <v>3038377.5765486476</v>
      </c>
      <c r="F23" s="8">
        <f t="shared" si="7"/>
        <v>0</v>
      </c>
      <c r="G23" s="8">
        <f t="shared" si="7"/>
        <v>0</v>
      </c>
      <c r="H23" s="8">
        <f t="shared" si="7"/>
        <v>0</v>
      </c>
      <c r="I23" s="8">
        <f t="shared" si="7"/>
        <v>0</v>
      </c>
      <c r="J23" s="8">
        <f t="shared" si="7"/>
        <v>0</v>
      </c>
      <c r="K23" s="8">
        <f t="shared" si="7"/>
        <v>0</v>
      </c>
      <c r="L23" s="8">
        <f t="shared" si="7"/>
        <v>0</v>
      </c>
      <c r="M23" s="8">
        <f t="shared" si="7"/>
        <v>0</v>
      </c>
      <c r="N23" s="8">
        <f t="shared" si="7"/>
        <v>0</v>
      </c>
      <c r="O23" s="8">
        <f t="shared" si="7"/>
        <v>0</v>
      </c>
      <c r="P23" s="8">
        <f t="shared" si="7"/>
        <v>6635583.5765486471</v>
      </c>
      <c r="Q23" s="8">
        <f t="shared" si="7"/>
        <v>3597206</v>
      </c>
      <c r="R23" s="8">
        <f t="shared" si="7"/>
        <v>3038377.5765486476</v>
      </c>
      <c r="S23" s="31">
        <f>+R23/P23</f>
        <v>0.45789153907831465</v>
      </c>
      <c r="T23" s="34"/>
      <c r="U23" s="36"/>
      <c r="V23" s="36"/>
      <c r="W23" s="2"/>
      <c r="Y23" s="20"/>
      <c r="Z23" s="20"/>
      <c r="AA23" s="20"/>
      <c r="AB23" s="20"/>
    </row>
    <row r="24" spans="1:30" x14ac:dyDescent="0.25">
      <c r="A24" s="12" t="s">
        <v>1</v>
      </c>
      <c r="B24" s="8">
        <f t="shared" ref="B24:R24" si="8">+B23+B20</f>
        <v>6486984324</v>
      </c>
      <c r="C24" s="8">
        <f t="shared" si="8"/>
        <v>535813471.90668273</v>
      </c>
      <c r="D24" s="8">
        <f t="shared" si="8"/>
        <v>96667100.719999999</v>
      </c>
      <c r="E24" s="8">
        <f t="shared" si="8"/>
        <v>439146371.1866827</v>
      </c>
      <c r="F24" s="8">
        <f t="shared" si="8"/>
        <v>0</v>
      </c>
      <c r="G24" s="8">
        <f t="shared" si="8"/>
        <v>0</v>
      </c>
      <c r="H24" s="8">
        <f t="shared" si="8"/>
        <v>0</v>
      </c>
      <c r="I24" s="8">
        <f t="shared" si="8"/>
        <v>0</v>
      </c>
      <c r="J24" s="8">
        <f t="shared" si="8"/>
        <v>0</v>
      </c>
      <c r="K24" s="8">
        <f t="shared" si="8"/>
        <v>0</v>
      </c>
      <c r="L24" s="8">
        <f t="shared" si="8"/>
        <v>0</v>
      </c>
      <c r="M24" s="8">
        <f t="shared" si="8"/>
        <v>0</v>
      </c>
      <c r="N24" s="8">
        <f t="shared" si="8"/>
        <v>0</v>
      </c>
      <c r="O24" s="8">
        <f t="shared" si="8"/>
        <v>0</v>
      </c>
      <c r="P24" s="8">
        <f t="shared" si="8"/>
        <v>535813471.90668273</v>
      </c>
      <c r="Q24" s="8">
        <f t="shared" si="8"/>
        <v>96667100.719999999</v>
      </c>
      <c r="R24" s="8">
        <f t="shared" si="8"/>
        <v>439146371.1866827</v>
      </c>
      <c r="S24" s="31">
        <f>+R24/P24</f>
        <v>0.81958814813667924</v>
      </c>
      <c r="T24" s="34"/>
      <c r="U24" s="35"/>
      <c r="V24" s="35"/>
      <c r="W24" s="2"/>
      <c r="X24" s="2"/>
      <c r="Y24" s="20"/>
      <c r="Z24" s="20"/>
      <c r="AA24" s="20"/>
      <c r="AB24" s="20"/>
    </row>
    <row r="25" spans="1:30" x14ac:dyDescent="0.25">
      <c r="A25" s="22" t="s">
        <v>58</v>
      </c>
      <c r="B25" s="4">
        <v>1516052727</v>
      </c>
      <c r="C25" s="4">
        <v>126337727.3946867</v>
      </c>
      <c r="D25" s="4">
        <v>96267509.640000001</v>
      </c>
      <c r="E25" s="4">
        <f t="shared" ref="E25:E86" si="9">+C25-D25</f>
        <v>30070217.754686698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>
        <f t="shared" ref="P25:P33" si="10">+C25</f>
        <v>126337727.3946867</v>
      </c>
      <c r="Q25" s="4">
        <f t="shared" ref="Q25:Q33" si="11">+D25</f>
        <v>96267509.640000001</v>
      </c>
      <c r="R25" s="6">
        <f t="shared" ref="R25:R33" si="12">+E25</f>
        <v>30070217.754686698</v>
      </c>
      <c r="S25" s="43">
        <f t="shared" ref="S25:S31" si="13">+R25/P25*100</f>
        <v>23.801455333089475</v>
      </c>
      <c r="T25" s="34"/>
      <c r="U25" s="38"/>
      <c r="V25" s="38"/>
      <c r="W25" s="2"/>
      <c r="X25" s="37"/>
      <c r="Y25" s="20"/>
      <c r="Z25" s="20"/>
      <c r="AA25" s="20"/>
      <c r="AB25" s="20"/>
    </row>
    <row r="26" spans="1:30" ht="60" x14ac:dyDescent="0.25">
      <c r="A26" s="21" t="s">
        <v>65</v>
      </c>
      <c r="B26" s="4">
        <v>254272041</v>
      </c>
      <c r="C26" s="4">
        <v>20972282.5</v>
      </c>
      <c r="D26" s="4">
        <v>0</v>
      </c>
      <c r="E26" s="4">
        <f t="shared" si="9"/>
        <v>20972282.5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4">
        <f t="shared" si="10"/>
        <v>20972282.5</v>
      </c>
      <c r="Q26" s="4">
        <f t="shared" si="11"/>
        <v>0</v>
      </c>
      <c r="R26" s="6">
        <f t="shared" si="12"/>
        <v>20972282.5</v>
      </c>
      <c r="S26" s="43">
        <f t="shared" si="13"/>
        <v>100</v>
      </c>
      <c r="T26" s="34"/>
      <c r="U26" s="38"/>
      <c r="V26" s="38"/>
      <c r="W26" s="2"/>
      <c r="X26" s="37"/>
      <c r="Y26" s="20"/>
      <c r="Z26" s="20"/>
    </row>
    <row r="27" spans="1:30" x14ac:dyDescent="0.25">
      <c r="A27" s="5" t="s">
        <v>16</v>
      </c>
      <c r="B27" s="4">
        <v>36000000</v>
      </c>
      <c r="C27" s="4">
        <f>40654560-28654560</f>
        <v>12000000</v>
      </c>
      <c r="D27" s="4">
        <v>31735</v>
      </c>
      <c r="E27" s="4">
        <f t="shared" si="9"/>
        <v>11968265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f t="shared" si="10"/>
        <v>12000000</v>
      </c>
      <c r="Q27" s="4">
        <f t="shared" si="11"/>
        <v>31735</v>
      </c>
      <c r="R27" s="6">
        <f t="shared" si="12"/>
        <v>11968265</v>
      </c>
      <c r="S27" s="43">
        <f t="shared" si="13"/>
        <v>99.735541666666677</v>
      </c>
      <c r="T27" s="34"/>
      <c r="U27" s="38"/>
      <c r="V27" s="38"/>
      <c r="W27" s="2"/>
      <c r="X27" s="2"/>
    </row>
    <row r="28" spans="1:30" x14ac:dyDescent="0.25">
      <c r="A28" s="5" t="s">
        <v>17</v>
      </c>
      <c r="B28" s="4">
        <f>8582072214</f>
        <v>8582072214</v>
      </c>
      <c r="C28" s="4">
        <v>55867726.200000003</v>
      </c>
      <c r="D28" s="4">
        <v>1086170</v>
      </c>
      <c r="E28" s="4">
        <f t="shared" si="9"/>
        <v>54781556.200000003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f t="shared" si="10"/>
        <v>55867726.200000003</v>
      </c>
      <c r="Q28" s="4">
        <f t="shared" si="11"/>
        <v>1086170</v>
      </c>
      <c r="R28" s="6">
        <f t="shared" si="12"/>
        <v>54781556.200000003</v>
      </c>
      <c r="S28" s="43">
        <f t="shared" si="13"/>
        <v>98.055818495079535</v>
      </c>
      <c r="T28" s="34"/>
      <c r="U28" s="38"/>
      <c r="V28" s="38"/>
      <c r="W28" s="2"/>
      <c r="X28" s="2"/>
    </row>
    <row r="29" spans="1:30" x14ac:dyDescent="0.25">
      <c r="A29" s="5" t="s">
        <v>7</v>
      </c>
      <c r="B29" s="4">
        <f>1481563987+36650001</f>
        <v>1518213988</v>
      </c>
      <c r="C29" s="4">
        <v>95543915.599999994</v>
      </c>
      <c r="D29" s="4">
        <v>8641952</v>
      </c>
      <c r="E29" s="4">
        <f t="shared" si="9"/>
        <v>86901963.599999994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>
        <f t="shared" si="10"/>
        <v>95543915.599999994</v>
      </c>
      <c r="Q29" s="4">
        <f t="shared" si="11"/>
        <v>8641952</v>
      </c>
      <c r="R29" s="6">
        <f t="shared" si="12"/>
        <v>86901963.599999994</v>
      </c>
      <c r="S29" s="43">
        <f t="shared" si="13"/>
        <v>90.954994940567417</v>
      </c>
      <c r="T29" s="34"/>
      <c r="U29" s="38"/>
      <c r="V29" s="38"/>
      <c r="W29" s="2"/>
      <c r="X29" s="2"/>
    </row>
    <row r="30" spans="1:30" x14ac:dyDescent="0.25">
      <c r="A30" s="5" t="s">
        <v>57</v>
      </c>
      <c r="B30" s="4">
        <f>737281080</f>
        <v>737281080</v>
      </c>
      <c r="C30" s="4">
        <v>133706950</v>
      </c>
      <c r="D30" s="4">
        <v>117651</v>
      </c>
      <c r="E30" s="4">
        <f t="shared" si="9"/>
        <v>133589299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f t="shared" si="10"/>
        <v>133706950</v>
      </c>
      <c r="Q30" s="4">
        <f t="shared" si="11"/>
        <v>117651</v>
      </c>
      <c r="R30" s="6">
        <f t="shared" si="12"/>
        <v>133589299</v>
      </c>
      <c r="S30" s="43">
        <f t="shared" si="13"/>
        <v>99.912008313703964</v>
      </c>
      <c r="T30" s="34"/>
      <c r="U30" s="38"/>
      <c r="V30" s="38"/>
      <c r="W30" s="2"/>
      <c r="X30" s="2"/>
    </row>
    <row r="31" spans="1:30" x14ac:dyDescent="0.25">
      <c r="A31" s="5" t="s">
        <v>66</v>
      </c>
      <c r="B31" s="4">
        <f>47254560+28654560</f>
        <v>75909120</v>
      </c>
      <c r="C31" s="4">
        <v>43954560</v>
      </c>
      <c r="D31" s="4">
        <v>0</v>
      </c>
      <c r="E31" s="4">
        <f t="shared" si="9"/>
        <v>43954560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f t="shared" si="10"/>
        <v>43954560</v>
      </c>
      <c r="Q31" s="4">
        <f t="shared" si="11"/>
        <v>0</v>
      </c>
      <c r="R31" s="6">
        <f t="shared" si="12"/>
        <v>43954560</v>
      </c>
      <c r="S31" s="43">
        <f t="shared" si="13"/>
        <v>100</v>
      </c>
      <c r="T31" s="34"/>
      <c r="U31" s="38"/>
      <c r="V31" s="38"/>
      <c r="W31" s="2"/>
      <c r="X31" s="2"/>
    </row>
    <row r="32" spans="1:30" x14ac:dyDescent="0.25">
      <c r="A32" s="5" t="s">
        <v>90</v>
      </c>
      <c r="B32" s="4">
        <v>1500000000</v>
      </c>
      <c r="C32" s="4">
        <v>0</v>
      </c>
      <c r="D32" s="4">
        <v>0</v>
      </c>
      <c r="E32" s="4">
        <f t="shared" si="9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f t="shared" si="10"/>
        <v>0</v>
      </c>
      <c r="Q32" s="4">
        <f t="shared" si="11"/>
        <v>0</v>
      </c>
      <c r="R32" s="6">
        <f t="shared" si="12"/>
        <v>0</v>
      </c>
      <c r="S32" s="43">
        <v>0</v>
      </c>
      <c r="T32" s="34"/>
      <c r="U32" s="38"/>
      <c r="V32" s="38"/>
      <c r="W32" s="2"/>
      <c r="X32" s="2"/>
    </row>
    <row r="33" spans="1:27" x14ac:dyDescent="0.25">
      <c r="A33" s="5" t="s">
        <v>91</v>
      </c>
      <c r="B33" s="4">
        <v>150000000</v>
      </c>
      <c r="C33" s="4">
        <v>0</v>
      </c>
      <c r="D33" s="4">
        <v>0</v>
      </c>
      <c r="E33" s="4">
        <f t="shared" si="9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f t="shared" si="10"/>
        <v>0</v>
      </c>
      <c r="Q33" s="4">
        <f t="shared" si="11"/>
        <v>0</v>
      </c>
      <c r="R33" s="6">
        <f t="shared" si="12"/>
        <v>0</v>
      </c>
      <c r="S33" s="43">
        <v>0</v>
      </c>
      <c r="T33" s="34"/>
      <c r="U33" s="38"/>
      <c r="V33" s="38"/>
      <c r="W33" s="2"/>
      <c r="X33" s="2"/>
    </row>
    <row r="34" spans="1:27" x14ac:dyDescent="0.25">
      <c r="A34" s="12" t="s">
        <v>52</v>
      </c>
      <c r="B34" s="8">
        <f t="shared" ref="B34:R34" si="14">SUM(B25:B33)</f>
        <v>14369801170</v>
      </c>
      <c r="C34" s="8">
        <f t="shared" si="14"/>
        <v>488383161.69468665</v>
      </c>
      <c r="D34" s="8">
        <f t="shared" si="14"/>
        <v>106145017.64</v>
      </c>
      <c r="E34" s="8">
        <f t="shared" si="14"/>
        <v>382238144.05468667</v>
      </c>
      <c r="F34" s="8">
        <f t="shared" si="14"/>
        <v>0</v>
      </c>
      <c r="G34" s="8">
        <f t="shared" si="14"/>
        <v>0</v>
      </c>
      <c r="H34" s="8">
        <f t="shared" si="14"/>
        <v>0</v>
      </c>
      <c r="I34" s="8">
        <f t="shared" si="14"/>
        <v>0</v>
      </c>
      <c r="J34" s="8">
        <f t="shared" si="14"/>
        <v>0</v>
      </c>
      <c r="K34" s="8">
        <f t="shared" si="14"/>
        <v>0</v>
      </c>
      <c r="L34" s="8">
        <f t="shared" si="14"/>
        <v>0</v>
      </c>
      <c r="M34" s="8">
        <f t="shared" si="14"/>
        <v>0</v>
      </c>
      <c r="N34" s="8">
        <f t="shared" si="14"/>
        <v>0</v>
      </c>
      <c r="O34" s="8">
        <f t="shared" si="14"/>
        <v>0</v>
      </c>
      <c r="P34" s="8">
        <f t="shared" si="14"/>
        <v>488383161.69468665</v>
      </c>
      <c r="Q34" s="8">
        <f t="shared" si="14"/>
        <v>106145017.64</v>
      </c>
      <c r="R34" s="8">
        <f t="shared" si="14"/>
        <v>382238144.05468667</v>
      </c>
      <c r="S34" s="31">
        <f>+R34/P34</f>
        <v>0.78266036594775834</v>
      </c>
      <c r="T34" s="34"/>
      <c r="U34" s="39"/>
      <c r="V34" s="39"/>
      <c r="W34" s="2"/>
    </row>
    <row r="35" spans="1:27" x14ac:dyDescent="0.25">
      <c r="A35" s="5" t="s">
        <v>54</v>
      </c>
      <c r="B35" s="4">
        <v>315108512</v>
      </c>
      <c r="C35" s="4">
        <v>26259042.681200095</v>
      </c>
      <c r="D35" s="4">
        <v>20905207</v>
      </c>
      <c r="E35" s="4">
        <f t="shared" si="9"/>
        <v>5353835.6812000945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f t="shared" ref="P35:P66" si="15">+C35</f>
        <v>26259042.681200095</v>
      </c>
      <c r="Q35" s="4">
        <f t="shared" ref="Q35:Q66" si="16">+D35</f>
        <v>20905207</v>
      </c>
      <c r="R35" s="6">
        <f t="shared" ref="R35:R66" si="17">+E35</f>
        <v>5353835.6812000945</v>
      </c>
      <c r="S35" s="43">
        <f t="shared" ref="S35:S86" si="18">+R35/P35*100</f>
        <v>20.388540992140282</v>
      </c>
      <c r="T35" s="34"/>
      <c r="U35" s="38"/>
      <c r="V35" s="38"/>
      <c r="W35" s="2"/>
      <c r="X35" s="2"/>
      <c r="AA35" s="2"/>
    </row>
    <row r="36" spans="1:27" x14ac:dyDescent="0.25">
      <c r="A36" s="5" t="s">
        <v>55</v>
      </c>
      <c r="B36" s="4">
        <v>229762301</v>
      </c>
      <c r="C36" s="4">
        <v>19146858.412866898</v>
      </c>
      <c r="D36" s="4">
        <v>18068114</v>
      </c>
      <c r="E36" s="4">
        <f t="shared" si="9"/>
        <v>1078744.4128668979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f t="shared" si="15"/>
        <v>19146858.412866898</v>
      </c>
      <c r="Q36" s="4">
        <f t="shared" si="16"/>
        <v>18068114</v>
      </c>
      <c r="R36" s="6">
        <f t="shared" si="17"/>
        <v>1078744.4128668979</v>
      </c>
      <c r="S36" s="43">
        <f t="shared" si="18"/>
        <v>5.6340543686371536</v>
      </c>
      <c r="T36" s="34"/>
      <c r="U36" s="38"/>
      <c r="V36" s="38"/>
      <c r="W36" s="2"/>
      <c r="X36" s="2"/>
      <c r="AA36" s="2"/>
    </row>
    <row r="37" spans="1:27" x14ac:dyDescent="0.25">
      <c r="A37" s="5" t="s">
        <v>88</v>
      </c>
      <c r="B37" s="4">
        <v>2000000</v>
      </c>
      <c r="C37" s="4">
        <v>0</v>
      </c>
      <c r="D37" s="4">
        <v>0</v>
      </c>
      <c r="E37" s="4">
        <f t="shared" si="9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f t="shared" si="15"/>
        <v>0</v>
      </c>
      <c r="Q37" s="4">
        <f t="shared" si="16"/>
        <v>0</v>
      </c>
      <c r="R37" s="6">
        <f t="shared" si="17"/>
        <v>0</v>
      </c>
      <c r="S37" s="43">
        <v>0</v>
      </c>
      <c r="T37" s="34"/>
      <c r="U37" s="38"/>
      <c r="V37" s="38"/>
      <c r="W37" s="2"/>
      <c r="X37" s="2"/>
      <c r="AA37" s="2"/>
    </row>
    <row r="38" spans="1:27" x14ac:dyDescent="0.25">
      <c r="A38" s="5" t="s">
        <v>18</v>
      </c>
      <c r="B38" s="4">
        <v>12120000</v>
      </c>
      <c r="C38" s="4">
        <v>760000</v>
      </c>
      <c r="D38" s="4">
        <v>794000</v>
      </c>
      <c r="E38" s="4">
        <f t="shared" si="9"/>
        <v>-34000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f t="shared" si="15"/>
        <v>760000</v>
      </c>
      <c r="Q38" s="4">
        <f t="shared" si="16"/>
        <v>794000</v>
      </c>
      <c r="R38" s="6">
        <f t="shared" si="17"/>
        <v>-34000</v>
      </c>
      <c r="S38" s="43">
        <f t="shared" si="18"/>
        <v>-4.4736842105263159</v>
      </c>
      <c r="T38" s="34"/>
      <c r="U38" s="38"/>
      <c r="V38" s="38"/>
      <c r="W38" s="2"/>
      <c r="X38" s="2"/>
    </row>
    <row r="39" spans="1:27" x14ac:dyDescent="0.25">
      <c r="A39" s="5" t="s">
        <v>71</v>
      </c>
      <c r="B39" s="4">
        <v>10000000</v>
      </c>
      <c r="C39" s="4">
        <v>0</v>
      </c>
      <c r="D39" s="4">
        <v>0</v>
      </c>
      <c r="E39" s="4">
        <f t="shared" si="9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f t="shared" si="15"/>
        <v>0</v>
      </c>
      <c r="Q39" s="4">
        <f t="shared" si="16"/>
        <v>0</v>
      </c>
      <c r="R39" s="6">
        <f t="shared" si="17"/>
        <v>0</v>
      </c>
      <c r="S39" s="43">
        <v>0</v>
      </c>
      <c r="T39" s="34"/>
      <c r="U39" s="38"/>
      <c r="V39" s="38"/>
      <c r="W39" s="2"/>
      <c r="X39" s="2"/>
    </row>
    <row r="40" spans="1:27" x14ac:dyDescent="0.25">
      <c r="A40" s="5" t="s">
        <v>84</v>
      </c>
      <c r="B40" s="4">
        <v>13500000</v>
      </c>
      <c r="C40" s="4">
        <v>0</v>
      </c>
      <c r="D40" s="4">
        <v>0</v>
      </c>
      <c r="E40" s="4">
        <f t="shared" si="9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>
        <f t="shared" si="15"/>
        <v>0</v>
      </c>
      <c r="Q40" s="4">
        <f t="shared" si="16"/>
        <v>0</v>
      </c>
      <c r="R40" s="6">
        <f t="shared" si="17"/>
        <v>0</v>
      </c>
      <c r="S40" s="43">
        <v>0</v>
      </c>
      <c r="T40" s="34"/>
      <c r="U40" s="38"/>
      <c r="V40" s="38"/>
      <c r="W40" s="2"/>
      <c r="X40" s="2"/>
    </row>
    <row r="41" spans="1:27" x14ac:dyDescent="0.25">
      <c r="A41" s="5" t="s">
        <v>19</v>
      </c>
      <c r="B41" s="4">
        <v>134400000</v>
      </c>
      <c r="C41" s="4">
        <v>11200000</v>
      </c>
      <c r="D41" s="4">
        <v>10666000</v>
      </c>
      <c r="E41" s="4">
        <f t="shared" si="9"/>
        <v>534000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>
        <f t="shared" si="15"/>
        <v>11200000</v>
      </c>
      <c r="Q41" s="4">
        <f t="shared" si="16"/>
        <v>10666000</v>
      </c>
      <c r="R41" s="6">
        <f t="shared" si="17"/>
        <v>534000</v>
      </c>
      <c r="S41" s="43">
        <f t="shared" si="18"/>
        <v>4.7678571428571432</v>
      </c>
      <c r="T41" s="34"/>
      <c r="U41" s="38"/>
      <c r="V41" s="38"/>
      <c r="W41" s="2"/>
      <c r="X41" s="2"/>
    </row>
    <row r="42" spans="1:27" ht="30" x14ac:dyDescent="0.25">
      <c r="A42" s="21" t="s">
        <v>89</v>
      </c>
      <c r="B42" s="4">
        <v>27000000</v>
      </c>
      <c r="C42" s="4">
        <v>0</v>
      </c>
      <c r="D42" s="4">
        <v>0</v>
      </c>
      <c r="E42" s="4">
        <f t="shared" si="9"/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>
        <f t="shared" si="15"/>
        <v>0</v>
      </c>
      <c r="Q42" s="4">
        <f t="shared" si="16"/>
        <v>0</v>
      </c>
      <c r="R42" s="6">
        <f t="shared" si="17"/>
        <v>0</v>
      </c>
      <c r="S42" s="43">
        <v>0</v>
      </c>
      <c r="T42" s="34"/>
      <c r="U42" s="38"/>
      <c r="V42" s="38"/>
      <c r="W42" s="2"/>
      <c r="X42" s="2"/>
    </row>
    <row r="43" spans="1:27" x14ac:dyDescent="0.25">
      <c r="A43" s="5" t="s">
        <v>72</v>
      </c>
      <c r="B43" s="4">
        <v>93058000</v>
      </c>
      <c r="C43" s="4">
        <v>5760000</v>
      </c>
      <c r="D43" s="4">
        <v>2176000</v>
      </c>
      <c r="E43" s="4">
        <f t="shared" si="9"/>
        <v>3584000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>
        <f t="shared" si="15"/>
        <v>5760000</v>
      </c>
      <c r="Q43" s="4">
        <f t="shared" si="16"/>
        <v>2176000</v>
      </c>
      <c r="R43" s="6">
        <f t="shared" si="17"/>
        <v>3584000</v>
      </c>
      <c r="S43" s="43">
        <f t="shared" si="18"/>
        <v>62.222222222222221</v>
      </c>
      <c r="T43" s="34"/>
      <c r="U43" s="38"/>
      <c r="V43" s="38"/>
      <c r="W43" s="2"/>
      <c r="X43" s="2"/>
    </row>
    <row r="44" spans="1:27" ht="60" x14ac:dyDescent="0.25">
      <c r="A44" s="21" t="s">
        <v>65</v>
      </c>
      <c r="B44" s="4">
        <v>10140000</v>
      </c>
      <c r="C44" s="4">
        <v>3980000</v>
      </c>
      <c r="D44" s="4">
        <v>0</v>
      </c>
      <c r="E44" s="4">
        <f t="shared" si="9"/>
        <v>3980000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>
        <f t="shared" si="15"/>
        <v>3980000</v>
      </c>
      <c r="Q44" s="4">
        <f t="shared" si="16"/>
        <v>0</v>
      </c>
      <c r="R44" s="6">
        <f t="shared" si="17"/>
        <v>3980000</v>
      </c>
      <c r="S44" s="43">
        <f t="shared" si="18"/>
        <v>100</v>
      </c>
      <c r="T44" s="34"/>
      <c r="U44" s="38"/>
      <c r="V44" s="38"/>
      <c r="W44" s="2"/>
      <c r="X44" s="2"/>
    </row>
    <row r="45" spans="1:27" ht="45" x14ac:dyDescent="0.25">
      <c r="A45" s="21" t="s">
        <v>20</v>
      </c>
      <c r="B45" s="4">
        <v>4000000</v>
      </c>
      <c r="C45" s="4">
        <v>0</v>
      </c>
      <c r="D45" s="4">
        <v>0</v>
      </c>
      <c r="E45" s="4">
        <f t="shared" si="9"/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>
        <f t="shared" si="15"/>
        <v>0</v>
      </c>
      <c r="Q45" s="4">
        <f t="shared" si="16"/>
        <v>0</v>
      </c>
      <c r="R45" s="6">
        <f t="shared" si="17"/>
        <v>0</v>
      </c>
      <c r="S45" s="43">
        <v>0</v>
      </c>
      <c r="T45" s="34"/>
      <c r="U45" s="38"/>
      <c r="V45" s="38"/>
      <c r="W45" s="2"/>
      <c r="X45" s="2"/>
    </row>
    <row r="46" spans="1:27" x14ac:dyDescent="0.25">
      <c r="A46" s="5" t="s">
        <v>21</v>
      </c>
      <c r="B46" s="4">
        <v>13200000</v>
      </c>
      <c r="C46" s="4">
        <v>500000</v>
      </c>
      <c r="D46" s="4">
        <v>0</v>
      </c>
      <c r="E46" s="4">
        <f t="shared" si="9"/>
        <v>500000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>
        <f t="shared" si="15"/>
        <v>500000</v>
      </c>
      <c r="Q46" s="4">
        <f t="shared" si="16"/>
        <v>0</v>
      </c>
      <c r="R46" s="6">
        <f t="shared" si="17"/>
        <v>500000</v>
      </c>
      <c r="S46" s="43">
        <f t="shared" si="18"/>
        <v>100</v>
      </c>
      <c r="T46" s="34"/>
      <c r="U46" s="38"/>
      <c r="V46" s="38"/>
      <c r="W46" s="2"/>
      <c r="X46" s="2"/>
    </row>
    <row r="47" spans="1:27" x14ac:dyDescent="0.25">
      <c r="A47" s="5" t="s">
        <v>22</v>
      </c>
      <c r="B47" s="4">
        <v>16200000</v>
      </c>
      <c r="C47" s="4">
        <v>1350000</v>
      </c>
      <c r="D47" s="4">
        <v>0</v>
      </c>
      <c r="E47" s="4">
        <f t="shared" si="9"/>
        <v>1350000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>
        <f t="shared" si="15"/>
        <v>1350000</v>
      </c>
      <c r="Q47" s="4">
        <f t="shared" si="16"/>
        <v>0</v>
      </c>
      <c r="R47" s="6">
        <f t="shared" si="17"/>
        <v>1350000</v>
      </c>
      <c r="S47" s="43">
        <f t="shared" si="18"/>
        <v>100</v>
      </c>
      <c r="T47" s="34"/>
      <c r="U47" s="38"/>
      <c r="V47" s="38"/>
      <c r="W47" s="2"/>
      <c r="X47" s="2"/>
    </row>
    <row r="48" spans="1:27" x14ac:dyDescent="0.25">
      <c r="A48" s="21" t="s">
        <v>85</v>
      </c>
      <c r="B48" s="4">
        <v>6000000</v>
      </c>
      <c r="C48" s="4">
        <v>500000</v>
      </c>
      <c r="D48" s="4">
        <v>466260</v>
      </c>
      <c r="E48" s="4">
        <f t="shared" si="9"/>
        <v>33740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>
        <f t="shared" si="15"/>
        <v>500000</v>
      </c>
      <c r="Q48" s="4">
        <f t="shared" si="16"/>
        <v>466260</v>
      </c>
      <c r="R48" s="6">
        <f t="shared" si="17"/>
        <v>33740</v>
      </c>
      <c r="S48" s="43">
        <f t="shared" si="18"/>
        <v>6.7480000000000002</v>
      </c>
      <c r="T48" s="34"/>
      <c r="U48" s="38"/>
      <c r="V48" s="38"/>
      <c r="W48" s="2"/>
      <c r="X48" s="2"/>
    </row>
    <row r="49" spans="1:24" x14ac:dyDescent="0.25">
      <c r="A49" s="5" t="s">
        <v>23</v>
      </c>
      <c r="B49" s="4">
        <v>12892000</v>
      </c>
      <c r="C49" s="4">
        <v>0</v>
      </c>
      <c r="D49" s="4">
        <v>0</v>
      </c>
      <c r="E49" s="4">
        <f t="shared" si="9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>
        <f t="shared" si="15"/>
        <v>0</v>
      </c>
      <c r="Q49" s="4">
        <f t="shared" si="16"/>
        <v>0</v>
      </c>
      <c r="R49" s="6">
        <f t="shared" si="17"/>
        <v>0</v>
      </c>
      <c r="S49" s="43">
        <v>0</v>
      </c>
      <c r="T49" s="34"/>
      <c r="U49" s="38"/>
      <c r="V49" s="38"/>
      <c r="W49" s="2"/>
      <c r="X49" s="2"/>
    </row>
    <row r="50" spans="1:24" ht="30" x14ac:dyDescent="0.25">
      <c r="A50" s="21" t="s">
        <v>37</v>
      </c>
      <c r="B50" s="4">
        <v>47040000</v>
      </c>
      <c r="C50" s="4">
        <v>3920000</v>
      </c>
      <c r="D50" s="4">
        <v>4201894</v>
      </c>
      <c r="E50" s="4">
        <f t="shared" si="9"/>
        <v>-281894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>
        <f t="shared" si="15"/>
        <v>3920000</v>
      </c>
      <c r="Q50" s="4">
        <f t="shared" si="16"/>
        <v>4201894</v>
      </c>
      <c r="R50" s="6">
        <f t="shared" si="17"/>
        <v>-281894</v>
      </c>
      <c r="S50" s="43">
        <f t="shared" si="18"/>
        <v>-7.1911734693877554</v>
      </c>
      <c r="T50" s="34">
        <f>+D50+D53+D85+D86</f>
        <v>63447894</v>
      </c>
      <c r="U50" s="38">
        <f>+C50+C52+C53+C54+C58+C66+C74+C85+C86</f>
        <v>83125000</v>
      </c>
      <c r="V50" s="38"/>
      <c r="W50" s="2"/>
      <c r="X50" s="2"/>
    </row>
    <row r="51" spans="1:24" ht="30" hidden="1" x14ac:dyDescent="0.25">
      <c r="A51" s="21" t="s">
        <v>24</v>
      </c>
      <c r="B51" s="4"/>
      <c r="C51" s="4">
        <v>0</v>
      </c>
      <c r="D51" s="4">
        <v>0</v>
      </c>
      <c r="E51" s="4">
        <f t="shared" si="9"/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>
        <f t="shared" si="15"/>
        <v>0</v>
      </c>
      <c r="Q51" s="4">
        <f t="shared" si="16"/>
        <v>0</v>
      </c>
      <c r="R51" s="6">
        <f t="shared" si="17"/>
        <v>0</v>
      </c>
      <c r="S51" s="43" t="e">
        <f t="shared" si="18"/>
        <v>#DIV/0!</v>
      </c>
      <c r="T51" s="34"/>
      <c r="U51" s="38"/>
      <c r="V51" s="38"/>
      <c r="W51" s="2"/>
      <c r="X51" s="2"/>
    </row>
    <row r="52" spans="1:24" x14ac:dyDescent="0.25">
      <c r="A52" s="21" t="s">
        <v>25</v>
      </c>
      <c r="B52" s="4">
        <v>39840000</v>
      </c>
      <c r="C52" s="4">
        <v>3320000</v>
      </c>
      <c r="D52" s="4">
        <v>0</v>
      </c>
      <c r="E52" s="4">
        <f t="shared" si="9"/>
        <v>3320000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>
        <f t="shared" si="15"/>
        <v>3320000</v>
      </c>
      <c r="Q52" s="4">
        <f t="shared" si="16"/>
        <v>0</v>
      </c>
      <c r="R52" s="6">
        <f t="shared" si="17"/>
        <v>3320000</v>
      </c>
      <c r="S52" s="43">
        <f t="shared" si="18"/>
        <v>100</v>
      </c>
      <c r="T52" s="34"/>
      <c r="U52" s="38"/>
      <c r="V52" s="38"/>
      <c r="W52" s="2"/>
      <c r="X52" s="2"/>
    </row>
    <row r="53" spans="1:24" x14ac:dyDescent="0.25">
      <c r="A53" s="5" t="s">
        <v>60</v>
      </c>
      <c r="B53" s="4">
        <v>40200000</v>
      </c>
      <c r="C53" s="4">
        <v>3350000</v>
      </c>
      <c r="D53" s="4">
        <v>3350000</v>
      </c>
      <c r="E53" s="4">
        <f t="shared" si="9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>
        <f t="shared" si="15"/>
        <v>3350000</v>
      </c>
      <c r="Q53" s="4">
        <f t="shared" si="16"/>
        <v>3350000</v>
      </c>
      <c r="R53" s="6">
        <f t="shared" si="17"/>
        <v>0</v>
      </c>
      <c r="S53" s="43">
        <f t="shared" si="18"/>
        <v>0</v>
      </c>
      <c r="T53" s="34"/>
      <c r="U53" s="38"/>
      <c r="V53" s="38"/>
      <c r="W53" s="2"/>
      <c r="X53" s="2"/>
    </row>
    <row r="54" spans="1:24" x14ac:dyDescent="0.25">
      <c r="A54" s="5" t="s">
        <v>26</v>
      </c>
      <c r="B54" s="4">
        <v>40080000</v>
      </c>
      <c r="C54" s="4">
        <v>3340000</v>
      </c>
      <c r="D54" s="4">
        <v>0</v>
      </c>
      <c r="E54" s="4">
        <f t="shared" si="9"/>
        <v>3340000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f t="shared" si="15"/>
        <v>3340000</v>
      </c>
      <c r="Q54" s="4">
        <f t="shared" si="16"/>
        <v>0</v>
      </c>
      <c r="R54" s="6">
        <f t="shared" si="17"/>
        <v>3340000</v>
      </c>
      <c r="S54" s="43">
        <f t="shared" si="18"/>
        <v>100</v>
      </c>
      <c r="T54" s="34"/>
      <c r="U54" s="38"/>
      <c r="V54" s="38"/>
      <c r="W54" s="2"/>
      <c r="X54" s="2"/>
    </row>
    <row r="55" spans="1:24" x14ac:dyDescent="0.25">
      <c r="A55" s="5" t="s">
        <v>92</v>
      </c>
      <c r="B55" s="4">
        <v>70450000</v>
      </c>
      <c r="C55" s="4">
        <v>1700000</v>
      </c>
      <c r="D55" s="4">
        <v>0</v>
      </c>
      <c r="E55" s="4">
        <f t="shared" si="9"/>
        <v>1700000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>
        <f t="shared" si="15"/>
        <v>1700000</v>
      </c>
      <c r="Q55" s="4">
        <f t="shared" si="16"/>
        <v>0</v>
      </c>
      <c r="R55" s="6">
        <f t="shared" si="17"/>
        <v>1700000</v>
      </c>
      <c r="S55" s="43">
        <f t="shared" si="18"/>
        <v>100</v>
      </c>
      <c r="T55" s="34"/>
      <c r="U55" s="38"/>
      <c r="V55" s="38"/>
      <c r="W55" s="2"/>
      <c r="X55" s="2"/>
    </row>
    <row r="56" spans="1:24" x14ac:dyDescent="0.25">
      <c r="A56" s="5" t="s">
        <v>73</v>
      </c>
      <c r="B56" s="4">
        <v>500000</v>
      </c>
      <c r="C56" s="4">
        <v>0</v>
      </c>
      <c r="D56" s="4">
        <v>0</v>
      </c>
      <c r="E56" s="4">
        <f t="shared" si="9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f t="shared" si="15"/>
        <v>0</v>
      </c>
      <c r="Q56" s="4">
        <f t="shared" si="16"/>
        <v>0</v>
      </c>
      <c r="R56" s="6">
        <f t="shared" si="17"/>
        <v>0</v>
      </c>
      <c r="S56" s="43">
        <v>0</v>
      </c>
      <c r="T56" s="34"/>
      <c r="U56" s="38"/>
      <c r="V56" s="38"/>
      <c r="W56" s="2"/>
      <c r="X56" s="2"/>
    </row>
    <row r="57" spans="1:24" x14ac:dyDescent="0.25">
      <c r="A57" s="5" t="s">
        <v>27</v>
      </c>
      <c r="B57" s="4">
        <v>11377300</v>
      </c>
      <c r="C57" s="4">
        <v>0</v>
      </c>
      <c r="D57" s="4">
        <v>0</v>
      </c>
      <c r="E57" s="4">
        <f t="shared" si="9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>
        <f t="shared" si="15"/>
        <v>0</v>
      </c>
      <c r="Q57" s="4">
        <f t="shared" si="16"/>
        <v>0</v>
      </c>
      <c r="R57" s="6">
        <f t="shared" si="17"/>
        <v>0</v>
      </c>
      <c r="S57" s="43">
        <v>0</v>
      </c>
      <c r="T57" s="34"/>
      <c r="U57" s="38"/>
      <c r="V57" s="38"/>
      <c r="W57" s="2"/>
      <c r="X57" s="2"/>
    </row>
    <row r="58" spans="1:24" x14ac:dyDescent="0.25">
      <c r="A58" s="5" t="s">
        <v>74</v>
      </c>
      <c r="B58" s="4">
        <v>46000000</v>
      </c>
      <c r="C58" s="4">
        <v>2000000</v>
      </c>
      <c r="D58" s="4">
        <v>0</v>
      </c>
      <c r="E58" s="4">
        <f t="shared" si="9"/>
        <v>2000000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f t="shared" si="15"/>
        <v>2000000</v>
      </c>
      <c r="Q58" s="4">
        <f t="shared" si="16"/>
        <v>0</v>
      </c>
      <c r="R58" s="6">
        <f t="shared" si="17"/>
        <v>2000000</v>
      </c>
      <c r="S58" s="43">
        <f t="shared" si="18"/>
        <v>100</v>
      </c>
      <c r="T58" s="34"/>
      <c r="U58" s="38"/>
      <c r="V58" s="38"/>
      <c r="W58" s="2"/>
      <c r="X58" s="2"/>
    </row>
    <row r="59" spans="1:24" hidden="1" x14ac:dyDescent="0.25">
      <c r="A59" s="5" t="s">
        <v>28</v>
      </c>
      <c r="B59" s="4"/>
      <c r="C59" s="4">
        <v>0</v>
      </c>
      <c r="D59" s="4">
        <v>0</v>
      </c>
      <c r="E59" s="4">
        <f t="shared" si="9"/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f t="shared" si="15"/>
        <v>0</v>
      </c>
      <c r="Q59" s="4">
        <f t="shared" si="16"/>
        <v>0</v>
      </c>
      <c r="R59" s="6">
        <f t="shared" si="17"/>
        <v>0</v>
      </c>
      <c r="S59" s="43" t="e">
        <f t="shared" si="18"/>
        <v>#DIV/0!</v>
      </c>
      <c r="T59" s="34"/>
      <c r="U59" s="38"/>
      <c r="V59" s="38"/>
      <c r="W59" s="2"/>
      <c r="X59" s="2"/>
    </row>
    <row r="60" spans="1:24" hidden="1" x14ac:dyDescent="0.25">
      <c r="A60" s="5" t="s">
        <v>29</v>
      </c>
      <c r="B60" s="4"/>
      <c r="C60" s="4"/>
      <c r="D60" s="4"/>
      <c r="E60" s="4">
        <f t="shared" si="9"/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>
        <f t="shared" si="15"/>
        <v>0</v>
      </c>
      <c r="Q60" s="4">
        <f t="shared" si="16"/>
        <v>0</v>
      </c>
      <c r="R60" s="6">
        <f t="shared" si="17"/>
        <v>0</v>
      </c>
      <c r="S60" s="43" t="e">
        <f t="shared" si="18"/>
        <v>#DIV/0!</v>
      </c>
      <c r="T60" s="34"/>
      <c r="U60" s="38"/>
      <c r="V60" s="38"/>
      <c r="W60" s="2"/>
      <c r="X60" s="2"/>
    </row>
    <row r="61" spans="1:24" x14ac:dyDescent="0.25">
      <c r="A61" s="5" t="s">
        <v>69</v>
      </c>
      <c r="B61" s="4">
        <v>61200000</v>
      </c>
      <c r="C61" s="4">
        <v>100000</v>
      </c>
      <c r="D61" s="4">
        <v>0</v>
      </c>
      <c r="E61" s="4">
        <f t="shared" si="9"/>
        <v>100000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>
        <f t="shared" si="15"/>
        <v>100000</v>
      </c>
      <c r="Q61" s="4">
        <f t="shared" si="16"/>
        <v>0</v>
      </c>
      <c r="R61" s="6">
        <f t="shared" si="17"/>
        <v>100000</v>
      </c>
      <c r="S61" s="43">
        <f t="shared" si="18"/>
        <v>100</v>
      </c>
      <c r="T61" s="34"/>
      <c r="U61" s="38"/>
      <c r="V61" s="38"/>
      <c r="W61" s="2"/>
      <c r="X61" s="2"/>
    </row>
    <row r="62" spans="1:24" hidden="1" x14ac:dyDescent="0.25">
      <c r="A62" s="5" t="s">
        <v>30</v>
      </c>
      <c r="B62" s="4"/>
      <c r="C62" s="4"/>
      <c r="D62" s="4"/>
      <c r="E62" s="4">
        <f t="shared" si="9"/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>
        <f t="shared" si="15"/>
        <v>0</v>
      </c>
      <c r="Q62" s="4">
        <f t="shared" si="16"/>
        <v>0</v>
      </c>
      <c r="R62" s="6">
        <f t="shared" si="17"/>
        <v>0</v>
      </c>
      <c r="S62" s="43" t="e">
        <f t="shared" si="18"/>
        <v>#DIV/0!</v>
      </c>
      <c r="T62" s="34"/>
      <c r="U62" s="38"/>
      <c r="V62" s="38"/>
      <c r="W62" s="2"/>
      <c r="X62" s="2"/>
    </row>
    <row r="63" spans="1:24" hidden="1" x14ac:dyDescent="0.25">
      <c r="A63" s="5" t="s">
        <v>31</v>
      </c>
      <c r="B63" s="4"/>
      <c r="C63" s="4"/>
      <c r="D63" s="4"/>
      <c r="E63" s="4">
        <f t="shared" si="9"/>
        <v>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>
        <f t="shared" si="15"/>
        <v>0</v>
      </c>
      <c r="Q63" s="4">
        <f t="shared" si="16"/>
        <v>0</v>
      </c>
      <c r="R63" s="6">
        <f t="shared" si="17"/>
        <v>0</v>
      </c>
      <c r="S63" s="43" t="e">
        <f t="shared" si="18"/>
        <v>#DIV/0!</v>
      </c>
      <c r="T63" s="34"/>
      <c r="U63" s="38"/>
      <c r="V63" s="38"/>
      <c r="W63" s="2"/>
      <c r="X63" s="2"/>
    </row>
    <row r="64" spans="1:24" x14ac:dyDescent="0.25">
      <c r="A64" s="21" t="s">
        <v>32</v>
      </c>
      <c r="B64" s="4">
        <v>32400000</v>
      </c>
      <c r="C64" s="4">
        <v>2700000</v>
      </c>
      <c r="D64" s="4">
        <v>2112800</v>
      </c>
      <c r="E64" s="4">
        <f t="shared" si="9"/>
        <v>587200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>
        <f t="shared" si="15"/>
        <v>2700000</v>
      </c>
      <c r="Q64" s="4">
        <f t="shared" si="16"/>
        <v>2112800</v>
      </c>
      <c r="R64" s="6">
        <f t="shared" si="17"/>
        <v>587200</v>
      </c>
      <c r="S64" s="43">
        <f t="shared" si="18"/>
        <v>21.748148148148147</v>
      </c>
      <c r="T64" s="34"/>
      <c r="U64" s="38"/>
      <c r="V64" s="38"/>
      <c r="W64" s="2"/>
      <c r="X64" s="2"/>
    </row>
    <row r="65" spans="1:24" x14ac:dyDescent="0.25">
      <c r="A65" s="5" t="s">
        <v>82</v>
      </c>
      <c r="B65" s="4">
        <v>11550000</v>
      </c>
      <c r="C65" s="4">
        <v>0</v>
      </c>
      <c r="D65" s="4">
        <v>0</v>
      </c>
      <c r="E65" s="4">
        <f t="shared" si="9"/>
        <v>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>
        <f t="shared" si="15"/>
        <v>0</v>
      </c>
      <c r="Q65" s="4">
        <f t="shared" si="16"/>
        <v>0</v>
      </c>
      <c r="R65" s="6">
        <f t="shared" si="17"/>
        <v>0</v>
      </c>
      <c r="S65" s="43">
        <v>0</v>
      </c>
      <c r="T65" s="34"/>
      <c r="U65" s="38"/>
      <c r="V65" s="38"/>
      <c r="W65" s="2"/>
      <c r="X65" s="2"/>
    </row>
    <row r="66" spans="1:24" x14ac:dyDescent="0.25">
      <c r="A66" s="5" t="s">
        <v>81</v>
      </c>
      <c r="B66" s="4">
        <v>36000000</v>
      </c>
      <c r="C66" s="4">
        <v>3000000</v>
      </c>
      <c r="D66" s="4">
        <v>0</v>
      </c>
      <c r="E66" s="4">
        <f t="shared" si="9"/>
        <v>3000000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>
        <f t="shared" si="15"/>
        <v>3000000</v>
      </c>
      <c r="Q66" s="4">
        <f t="shared" si="16"/>
        <v>0</v>
      </c>
      <c r="R66" s="6">
        <f t="shared" si="17"/>
        <v>3000000</v>
      </c>
      <c r="S66" s="43">
        <f t="shared" si="18"/>
        <v>100</v>
      </c>
      <c r="T66" s="34"/>
      <c r="U66" s="38"/>
      <c r="V66" s="38"/>
      <c r="W66" s="2"/>
      <c r="X66" s="2"/>
    </row>
    <row r="67" spans="1:24" x14ac:dyDescent="0.25">
      <c r="A67" s="5" t="s">
        <v>93</v>
      </c>
      <c r="B67" s="4">
        <v>36000000</v>
      </c>
      <c r="C67" s="4">
        <v>1500000</v>
      </c>
      <c r="D67" s="4">
        <v>2126080</v>
      </c>
      <c r="E67" s="4">
        <f t="shared" si="9"/>
        <v>-626080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>
        <f t="shared" ref="P67:P86" si="19">+C67</f>
        <v>1500000</v>
      </c>
      <c r="Q67" s="4">
        <f t="shared" ref="Q67:Q86" si="20">+D67</f>
        <v>2126080</v>
      </c>
      <c r="R67" s="6">
        <f t="shared" ref="R67:R86" si="21">+E67</f>
        <v>-626080</v>
      </c>
      <c r="S67" s="43">
        <f t="shared" si="18"/>
        <v>-41.738666666666667</v>
      </c>
      <c r="T67" s="34"/>
      <c r="U67" s="38"/>
      <c r="V67" s="38"/>
      <c r="W67" s="2"/>
      <c r="X67" s="2"/>
    </row>
    <row r="68" spans="1:24" x14ac:dyDescent="0.25">
      <c r="A68" s="5" t="s">
        <v>78</v>
      </c>
      <c r="B68" s="4">
        <v>4000000</v>
      </c>
      <c r="C68" s="4">
        <v>1500000</v>
      </c>
      <c r="D68" s="4">
        <v>7200</v>
      </c>
      <c r="E68" s="4">
        <f t="shared" si="9"/>
        <v>1492800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>
        <f t="shared" si="19"/>
        <v>1500000</v>
      </c>
      <c r="Q68" s="4">
        <f t="shared" si="20"/>
        <v>7200</v>
      </c>
      <c r="R68" s="6">
        <f t="shared" si="21"/>
        <v>1492800</v>
      </c>
      <c r="S68" s="43">
        <f t="shared" si="18"/>
        <v>99.52</v>
      </c>
      <c r="T68" s="34"/>
      <c r="U68" s="38"/>
      <c r="V68" s="38"/>
      <c r="W68" s="2"/>
      <c r="X68" s="2"/>
    </row>
    <row r="69" spans="1:24" x14ac:dyDescent="0.25">
      <c r="A69" s="21" t="s">
        <v>79</v>
      </c>
      <c r="B69" s="4">
        <v>7000000</v>
      </c>
      <c r="C69" s="4">
        <v>0</v>
      </c>
      <c r="D69" s="4">
        <v>0</v>
      </c>
      <c r="E69" s="4">
        <f t="shared" si="9"/>
        <v>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f t="shared" si="19"/>
        <v>0</v>
      </c>
      <c r="Q69" s="4">
        <f t="shared" si="20"/>
        <v>0</v>
      </c>
      <c r="R69" s="6">
        <f t="shared" si="21"/>
        <v>0</v>
      </c>
      <c r="S69" s="43">
        <v>0</v>
      </c>
      <c r="T69" s="34"/>
      <c r="U69" s="38"/>
      <c r="V69" s="38"/>
      <c r="W69" s="2"/>
      <c r="X69" s="2"/>
    </row>
    <row r="70" spans="1:24" ht="30" x14ac:dyDescent="0.25">
      <c r="A70" s="21" t="s">
        <v>77</v>
      </c>
      <c r="B70" s="4">
        <v>7000000</v>
      </c>
      <c r="C70" s="4">
        <v>0</v>
      </c>
      <c r="D70" s="4">
        <v>0</v>
      </c>
      <c r="E70" s="4">
        <f t="shared" si="9"/>
        <v>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>
        <f t="shared" si="19"/>
        <v>0</v>
      </c>
      <c r="Q70" s="4">
        <f t="shared" si="20"/>
        <v>0</v>
      </c>
      <c r="R70" s="6">
        <f t="shared" si="21"/>
        <v>0</v>
      </c>
      <c r="S70" s="43">
        <v>0</v>
      </c>
      <c r="T70" s="34"/>
      <c r="U70" s="38"/>
      <c r="V70" s="38"/>
      <c r="W70" s="2"/>
      <c r="X70" s="2"/>
    </row>
    <row r="71" spans="1:24" ht="30" x14ac:dyDescent="0.25">
      <c r="A71" s="21" t="s">
        <v>80</v>
      </c>
      <c r="B71" s="4">
        <v>4000000</v>
      </c>
      <c r="C71" s="4">
        <v>0</v>
      </c>
      <c r="D71" s="4">
        <v>0</v>
      </c>
      <c r="E71" s="4">
        <f t="shared" si="9"/>
        <v>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f t="shared" si="19"/>
        <v>0</v>
      </c>
      <c r="Q71" s="4">
        <f t="shared" si="20"/>
        <v>0</v>
      </c>
      <c r="R71" s="6">
        <f t="shared" si="21"/>
        <v>0</v>
      </c>
      <c r="S71" s="43">
        <v>0</v>
      </c>
      <c r="T71" s="34"/>
      <c r="U71" s="38"/>
      <c r="V71" s="38"/>
      <c r="W71" s="2"/>
      <c r="X71" s="2"/>
    </row>
    <row r="72" spans="1:24" x14ac:dyDescent="0.25">
      <c r="A72" s="21" t="s">
        <v>70</v>
      </c>
      <c r="B72" s="4">
        <v>64800000</v>
      </c>
      <c r="C72" s="4">
        <v>5400000</v>
      </c>
      <c r="D72" s="4">
        <v>5451000</v>
      </c>
      <c r="E72" s="4">
        <f t="shared" si="9"/>
        <v>-51000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f t="shared" si="19"/>
        <v>5400000</v>
      </c>
      <c r="Q72" s="4">
        <f t="shared" si="20"/>
        <v>5451000</v>
      </c>
      <c r="R72" s="6">
        <f t="shared" si="21"/>
        <v>-51000</v>
      </c>
      <c r="S72" s="43">
        <f t="shared" si="18"/>
        <v>-0.94444444444444442</v>
      </c>
      <c r="T72" s="34"/>
      <c r="U72" s="38"/>
      <c r="V72" s="38"/>
      <c r="W72" s="2"/>
      <c r="X72" s="2"/>
    </row>
    <row r="73" spans="1:24" ht="30" x14ac:dyDescent="0.25">
      <c r="A73" s="21" t="s">
        <v>33</v>
      </c>
      <c r="B73" s="4">
        <v>27600000</v>
      </c>
      <c r="C73" s="4">
        <v>2300000</v>
      </c>
      <c r="D73" s="4">
        <v>0</v>
      </c>
      <c r="E73" s="4">
        <f t="shared" si="9"/>
        <v>2300000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>
        <f t="shared" si="19"/>
        <v>2300000</v>
      </c>
      <c r="Q73" s="4">
        <f t="shared" si="20"/>
        <v>0</v>
      </c>
      <c r="R73" s="6">
        <f t="shared" si="21"/>
        <v>2300000</v>
      </c>
      <c r="S73" s="43">
        <f t="shared" si="18"/>
        <v>100</v>
      </c>
      <c r="T73" s="34"/>
      <c r="U73" s="38"/>
      <c r="V73" s="38"/>
      <c r="W73" s="2"/>
      <c r="X73" s="2"/>
    </row>
    <row r="74" spans="1:24" x14ac:dyDescent="0.25">
      <c r="A74" s="5" t="s">
        <v>75</v>
      </c>
      <c r="B74" s="4">
        <v>36000000</v>
      </c>
      <c r="C74" s="4">
        <v>3000000</v>
      </c>
      <c r="D74" s="4">
        <v>0</v>
      </c>
      <c r="E74" s="4">
        <f t="shared" si="9"/>
        <v>3000000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>
        <f t="shared" si="19"/>
        <v>3000000</v>
      </c>
      <c r="Q74" s="4">
        <f t="shared" si="20"/>
        <v>0</v>
      </c>
      <c r="R74" s="6">
        <f t="shared" si="21"/>
        <v>3000000</v>
      </c>
      <c r="S74" s="43">
        <f t="shared" si="18"/>
        <v>100</v>
      </c>
      <c r="T74" s="34"/>
      <c r="U74" s="38"/>
      <c r="V74" s="38"/>
      <c r="W74" s="2"/>
      <c r="X74" s="2"/>
    </row>
    <row r="75" spans="1:24" x14ac:dyDescent="0.25">
      <c r="A75" s="5" t="s">
        <v>87</v>
      </c>
      <c r="B75" s="4">
        <v>18823282</v>
      </c>
      <c r="C75" s="4">
        <v>224000</v>
      </c>
      <c r="D75" s="4">
        <v>0</v>
      </c>
      <c r="E75" s="4">
        <f t="shared" si="9"/>
        <v>224000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>
        <f t="shared" si="19"/>
        <v>224000</v>
      </c>
      <c r="Q75" s="4">
        <f t="shared" si="20"/>
        <v>0</v>
      </c>
      <c r="R75" s="6">
        <f t="shared" si="21"/>
        <v>224000</v>
      </c>
      <c r="S75" s="43">
        <f t="shared" si="18"/>
        <v>100</v>
      </c>
      <c r="T75" s="34"/>
      <c r="U75" s="38"/>
      <c r="V75" s="38"/>
      <c r="W75" s="2"/>
      <c r="X75" s="2"/>
    </row>
    <row r="76" spans="1:24" x14ac:dyDescent="0.25">
      <c r="A76" s="5" t="s">
        <v>68</v>
      </c>
      <c r="B76" s="4">
        <v>14400000</v>
      </c>
      <c r="C76" s="4">
        <v>1200000</v>
      </c>
      <c r="D76" s="4">
        <v>4473800</v>
      </c>
      <c r="E76" s="4">
        <f t="shared" si="9"/>
        <v>-3273800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>
        <f t="shared" si="19"/>
        <v>1200000</v>
      </c>
      <c r="Q76" s="4">
        <f t="shared" si="20"/>
        <v>4473800</v>
      </c>
      <c r="R76" s="6">
        <f t="shared" si="21"/>
        <v>-3273800</v>
      </c>
      <c r="S76" s="43">
        <f t="shared" si="18"/>
        <v>-272.81666666666666</v>
      </c>
      <c r="T76" s="34"/>
      <c r="U76" s="38"/>
      <c r="V76" s="38"/>
      <c r="W76" s="2"/>
      <c r="X76" s="2"/>
    </row>
    <row r="77" spans="1:24" x14ac:dyDescent="0.25">
      <c r="A77" s="21" t="s">
        <v>67</v>
      </c>
      <c r="B77" s="4">
        <v>7798000</v>
      </c>
      <c r="C77" s="4">
        <v>519000</v>
      </c>
      <c r="D77" s="4">
        <v>0</v>
      </c>
      <c r="E77" s="4">
        <f t="shared" si="9"/>
        <v>519000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>
        <f t="shared" si="19"/>
        <v>519000</v>
      </c>
      <c r="Q77" s="4">
        <f t="shared" si="20"/>
        <v>0</v>
      </c>
      <c r="R77" s="6">
        <f t="shared" si="21"/>
        <v>519000</v>
      </c>
      <c r="S77" s="43">
        <f t="shared" si="18"/>
        <v>100</v>
      </c>
      <c r="T77" s="34"/>
      <c r="U77" s="38"/>
      <c r="V77" s="38"/>
      <c r="W77" s="2"/>
      <c r="X77" s="2"/>
    </row>
    <row r="78" spans="1:24" x14ac:dyDescent="0.25">
      <c r="A78" s="21" t="s">
        <v>86</v>
      </c>
      <c r="B78" s="4">
        <v>54736747</v>
      </c>
      <c r="C78" s="4">
        <v>5061458.5192123605</v>
      </c>
      <c r="D78" s="4">
        <v>1210918</v>
      </c>
      <c r="E78" s="4">
        <f t="shared" si="9"/>
        <v>3850540.5192123605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>
        <f t="shared" si="19"/>
        <v>5061458.5192123605</v>
      </c>
      <c r="Q78" s="4">
        <f t="shared" si="20"/>
        <v>1210918</v>
      </c>
      <c r="R78" s="6">
        <f t="shared" si="21"/>
        <v>3850540.5192123605</v>
      </c>
      <c r="S78" s="43">
        <f t="shared" si="18"/>
        <v>76.075710283832635</v>
      </c>
      <c r="T78" s="34"/>
      <c r="U78" s="38"/>
      <c r="V78" s="38"/>
      <c r="W78" s="2"/>
      <c r="X78" s="2"/>
    </row>
    <row r="79" spans="1:24" x14ac:dyDescent="0.25">
      <c r="A79" s="5" t="s">
        <v>108</v>
      </c>
      <c r="B79" s="4">
        <v>36000000</v>
      </c>
      <c r="C79" s="4">
        <v>3000000</v>
      </c>
      <c r="D79" s="4">
        <v>0</v>
      </c>
      <c r="E79" s="4">
        <f t="shared" si="9"/>
        <v>3000000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>
        <f t="shared" si="19"/>
        <v>3000000</v>
      </c>
      <c r="Q79" s="4">
        <f t="shared" si="20"/>
        <v>0</v>
      </c>
      <c r="R79" s="6">
        <f t="shared" si="21"/>
        <v>3000000</v>
      </c>
      <c r="S79" s="43">
        <f t="shared" si="18"/>
        <v>100</v>
      </c>
      <c r="T79" s="34"/>
      <c r="U79" s="38"/>
      <c r="V79" s="38"/>
      <c r="W79" s="2"/>
      <c r="X79" s="2"/>
    </row>
    <row r="80" spans="1:24" x14ac:dyDescent="0.25">
      <c r="A80" s="5" t="s">
        <v>76</v>
      </c>
      <c r="B80" s="4">
        <v>15000000</v>
      </c>
      <c r="C80" s="4">
        <v>0</v>
      </c>
      <c r="D80" s="4">
        <v>0</v>
      </c>
      <c r="E80" s="4">
        <f t="shared" si="9"/>
        <v>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>
        <f t="shared" si="19"/>
        <v>0</v>
      </c>
      <c r="Q80" s="4">
        <f t="shared" si="20"/>
        <v>0</v>
      </c>
      <c r="R80" s="6">
        <f t="shared" si="21"/>
        <v>0</v>
      </c>
      <c r="S80" s="43">
        <v>0</v>
      </c>
      <c r="T80" s="34"/>
      <c r="U80" s="38"/>
      <c r="V80" s="38"/>
      <c r="W80" s="2"/>
      <c r="X80" s="2"/>
    </row>
    <row r="81" spans="1:27" x14ac:dyDescent="0.25">
      <c r="A81" s="5" t="s">
        <v>61</v>
      </c>
      <c r="B81" s="4">
        <v>12000000</v>
      </c>
      <c r="C81" s="4">
        <v>0</v>
      </c>
      <c r="D81" s="4">
        <v>0</v>
      </c>
      <c r="E81" s="4">
        <f t="shared" si="9"/>
        <v>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>
        <f t="shared" si="19"/>
        <v>0</v>
      </c>
      <c r="Q81" s="4">
        <f t="shared" si="20"/>
        <v>0</v>
      </c>
      <c r="R81" s="6">
        <f t="shared" si="21"/>
        <v>0</v>
      </c>
      <c r="S81" s="43">
        <v>0</v>
      </c>
      <c r="T81" s="34"/>
      <c r="U81" s="38"/>
      <c r="V81" s="38"/>
      <c r="W81" s="2"/>
      <c r="X81" s="2"/>
    </row>
    <row r="82" spans="1:27" hidden="1" x14ac:dyDescent="0.25">
      <c r="A82" s="5" t="s">
        <v>34</v>
      </c>
      <c r="B82" s="4"/>
      <c r="C82" s="4"/>
      <c r="D82" s="4"/>
      <c r="E82" s="4">
        <f t="shared" si="9"/>
        <v>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>
        <f t="shared" si="19"/>
        <v>0</v>
      </c>
      <c r="Q82" s="4">
        <f t="shared" si="20"/>
        <v>0</v>
      </c>
      <c r="R82" s="6">
        <f t="shared" si="21"/>
        <v>0</v>
      </c>
      <c r="S82" s="43" t="e">
        <f t="shared" si="18"/>
        <v>#DIV/0!</v>
      </c>
      <c r="T82" s="34"/>
      <c r="U82" s="38"/>
      <c r="V82" s="38"/>
      <c r="W82" s="2"/>
      <c r="X82" s="2"/>
    </row>
    <row r="83" spans="1:27" x14ac:dyDescent="0.25">
      <c r="A83" s="5" t="s">
        <v>83</v>
      </c>
      <c r="B83" s="4">
        <v>26000000</v>
      </c>
      <c r="C83" s="4">
        <v>2000000</v>
      </c>
      <c r="D83" s="4">
        <v>0</v>
      </c>
      <c r="E83" s="4">
        <f t="shared" si="9"/>
        <v>2000000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>
        <f t="shared" si="19"/>
        <v>2000000</v>
      </c>
      <c r="Q83" s="4">
        <f t="shared" si="20"/>
        <v>0</v>
      </c>
      <c r="R83" s="6">
        <f t="shared" si="21"/>
        <v>2000000</v>
      </c>
      <c r="S83" s="43">
        <f t="shared" si="18"/>
        <v>100</v>
      </c>
      <c r="T83" s="34"/>
      <c r="U83" s="38"/>
      <c r="V83" s="38"/>
      <c r="W83" s="2"/>
      <c r="X83" s="2"/>
    </row>
    <row r="84" spans="1:27" hidden="1" x14ac:dyDescent="0.25">
      <c r="A84" s="5" t="s">
        <v>56</v>
      </c>
      <c r="B84" s="4"/>
      <c r="C84" s="4"/>
      <c r="D84" s="4"/>
      <c r="E84" s="4">
        <f t="shared" si="9"/>
        <v>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>
        <f t="shared" si="19"/>
        <v>0</v>
      </c>
      <c r="Q84" s="4">
        <f t="shared" si="20"/>
        <v>0</v>
      </c>
      <c r="R84" s="6">
        <f t="shared" si="21"/>
        <v>0</v>
      </c>
      <c r="S84" s="43" t="e">
        <f t="shared" si="18"/>
        <v>#DIV/0!</v>
      </c>
      <c r="T84" s="34"/>
      <c r="U84" s="38"/>
      <c r="V84" s="38"/>
      <c r="W84" s="2"/>
      <c r="X84" s="2"/>
    </row>
    <row r="85" spans="1:27" x14ac:dyDescent="0.25">
      <c r="A85" s="5" t="s">
        <v>38</v>
      </c>
      <c r="B85" s="4">
        <v>25200000</v>
      </c>
      <c r="C85" s="4">
        <v>2100000</v>
      </c>
      <c r="D85" s="4">
        <v>2320000</v>
      </c>
      <c r="E85" s="4">
        <f t="shared" si="9"/>
        <v>-220000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>
        <f t="shared" si="19"/>
        <v>2100000</v>
      </c>
      <c r="Q85" s="4">
        <f t="shared" si="20"/>
        <v>2320000</v>
      </c>
      <c r="R85" s="6">
        <f t="shared" si="21"/>
        <v>-220000</v>
      </c>
      <c r="S85" s="43">
        <f t="shared" si="18"/>
        <v>-10.476190476190476</v>
      </c>
      <c r="T85" s="34"/>
      <c r="U85" s="38"/>
      <c r="V85" s="38"/>
      <c r="W85" s="2"/>
      <c r="X85" s="2"/>
    </row>
    <row r="86" spans="1:27" x14ac:dyDescent="0.25">
      <c r="A86" s="5" t="s">
        <v>39</v>
      </c>
      <c r="B86" s="4">
        <v>709140000</v>
      </c>
      <c r="C86" s="4">
        <v>59095000</v>
      </c>
      <c r="D86" s="4">
        <v>53576000</v>
      </c>
      <c r="E86" s="4">
        <f t="shared" si="9"/>
        <v>5519000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>
        <f t="shared" si="19"/>
        <v>59095000</v>
      </c>
      <c r="Q86" s="4">
        <f t="shared" si="20"/>
        <v>53576000</v>
      </c>
      <c r="R86" s="6">
        <f t="shared" si="21"/>
        <v>5519000</v>
      </c>
      <c r="S86" s="43">
        <f t="shared" si="18"/>
        <v>9.3391995938742696</v>
      </c>
      <c r="T86" s="34"/>
      <c r="U86" s="38"/>
      <c r="V86" s="38"/>
      <c r="W86" s="2"/>
      <c r="X86" s="2"/>
    </row>
    <row r="87" spans="1:27" x14ac:dyDescent="0.25">
      <c r="A87" s="12" t="s">
        <v>53</v>
      </c>
      <c r="B87" s="8">
        <f>SUM(B35:B86)</f>
        <v>2441516142</v>
      </c>
      <c r="C87" s="8">
        <f>SUM(C35:C86)</f>
        <v>179785359.61327934</v>
      </c>
      <c r="D87" s="8">
        <f>SUM(D35:D86)</f>
        <v>131905273</v>
      </c>
      <c r="E87" s="8">
        <f>SUM(E35:E86)</f>
        <v>47880086.61327935</v>
      </c>
      <c r="F87" s="8">
        <f t="shared" ref="F87:R87" si="22">SUM(F35:F86)</f>
        <v>0</v>
      </c>
      <c r="G87" s="8">
        <f t="shared" si="22"/>
        <v>0</v>
      </c>
      <c r="H87" s="8">
        <f t="shared" si="22"/>
        <v>0</v>
      </c>
      <c r="I87" s="8">
        <f t="shared" si="22"/>
        <v>0</v>
      </c>
      <c r="J87" s="8">
        <f t="shared" si="22"/>
        <v>0</v>
      </c>
      <c r="K87" s="8">
        <f t="shared" si="22"/>
        <v>0</v>
      </c>
      <c r="L87" s="8">
        <f t="shared" si="22"/>
        <v>0</v>
      </c>
      <c r="M87" s="8">
        <f t="shared" si="22"/>
        <v>0</v>
      </c>
      <c r="N87" s="8">
        <f t="shared" si="22"/>
        <v>0</v>
      </c>
      <c r="O87" s="8">
        <f t="shared" si="22"/>
        <v>0</v>
      </c>
      <c r="P87" s="8">
        <f t="shared" si="22"/>
        <v>179785359.61327934</v>
      </c>
      <c r="Q87" s="8">
        <f t="shared" si="22"/>
        <v>131905273</v>
      </c>
      <c r="R87" s="8">
        <f t="shared" si="22"/>
        <v>47880086.61327935</v>
      </c>
      <c r="S87" s="31">
        <f>+R87/P87</f>
        <v>0.26631805123770946</v>
      </c>
      <c r="T87" s="34"/>
      <c r="U87" s="39"/>
      <c r="V87" s="39"/>
      <c r="W87" s="2"/>
      <c r="X87" s="2"/>
      <c r="Z87" s="2"/>
    </row>
    <row r="88" spans="1:27" s="1" customFormat="1" x14ac:dyDescent="0.25">
      <c r="A88" s="12" t="s">
        <v>62</v>
      </c>
      <c r="B88" s="15">
        <f t="shared" ref="B88:R88" si="23">+B87+B34+B24</f>
        <v>23298301636</v>
      </c>
      <c r="C88" s="15">
        <f t="shared" si="23"/>
        <v>1203981993.2146487</v>
      </c>
      <c r="D88" s="15">
        <f t="shared" si="23"/>
        <v>334717391.36000001</v>
      </c>
      <c r="E88" s="15">
        <f t="shared" si="23"/>
        <v>869264601.85464871</v>
      </c>
      <c r="F88" s="15">
        <f t="shared" si="23"/>
        <v>0</v>
      </c>
      <c r="G88" s="15">
        <f t="shared" si="23"/>
        <v>0</v>
      </c>
      <c r="H88" s="15">
        <f t="shared" si="23"/>
        <v>0</v>
      </c>
      <c r="I88" s="15">
        <f t="shared" si="23"/>
        <v>0</v>
      </c>
      <c r="J88" s="15">
        <f t="shared" si="23"/>
        <v>0</v>
      </c>
      <c r="K88" s="15">
        <f t="shared" si="23"/>
        <v>0</v>
      </c>
      <c r="L88" s="15">
        <f t="shared" si="23"/>
        <v>0</v>
      </c>
      <c r="M88" s="15">
        <f t="shared" si="23"/>
        <v>0</v>
      </c>
      <c r="N88" s="15">
        <f t="shared" si="23"/>
        <v>0</v>
      </c>
      <c r="O88" s="15">
        <f t="shared" si="23"/>
        <v>0</v>
      </c>
      <c r="P88" s="15">
        <f t="shared" si="23"/>
        <v>1203981993.2146487</v>
      </c>
      <c r="Q88" s="15">
        <f t="shared" si="23"/>
        <v>334717391.36000001</v>
      </c>
      <c r="R88" s="15">
        <f t="shared" si="23"/>
        <v>869264601.85464871</v>
      </c>
      <c r="S88" s="31">
        <f>+R88/P88</f>
        <v>0.72199136428419508</v>
      </c>
      <c r="T88" s="34"/>
      <c r="U88" s="40"/>
      <c r="V88" s="40"/>
      <c r="W88" s="2"/>
      <c r="X88" s="2"/>
    </row>
    <row r="89" spans="1:27" ht="19.5" thickBot="1" x14ac:dyDescent="0.3">
      <c r="A89" s="13" t="s">
        <v>0</v>
      </c>
      <c r="B89" s="9">
        <f t="shared" ref="B89:R89" si="24">+B12-B88</f>
        <v>-18864299629.952744</v>
      </c>
      <c r="C89" s="9">
        <f t="shared" si="24"/>
        <v>-822989643.21464872</v>
      </c>
      <c r="D89" s="9">
        <f t="shared" si="24"/>
        <v>-299698994.05000001</v>
      </c>
      <c r="E89" s="9">
        <f t="shared" si="24"/>
        <v>-523290649.16464871</v>
      </c>
      <c r="F89" s="9">
        <f t="shared" si="24"/>
        <v>0</v>
      </c>
      <c r="G89" s="9">
        <f t="shared" si="24"/>
        <v>0</v>
      </c>
      <c r="H89" s="9">
        <f t="shared" si="24"/>
        <v>0</v>
      </c>
      <c r="I89" s="9">
        <f t="shared" si="24"/>
        <v>0</v>
      </c>
      <c r="J89" s="9">
        <f t="shared" si="24"/>
        <v>0</v>
      </c>
      <c r="K89" s="9">
        <f t="shared" si="24"/>
        <v>0</v>
      </c>
      <c r="L89" s="9">
        <f t="shared" si="24"/>
        <v>0</v>
      </c>
      <c r="M89" s="9">
        <f t="shared" si="24"/>
        <v>0</v>
      </c>
      <c r="N89" s="9">
        <f t="shared" si="24"/>
        <v>0</v>
      </c>
      <c r="O89" s="9">
        <f t="shared" si="24"/>
        <v>0</v>
      </c>
      <c r="P89" s="9">
        <f t="shared" si="24"/>
        <v>-822989643.21464872</v>
      </c>
      <c r="Q89" s="9">
        <f t="shared" si="24"/>
        <v>-299698994.05000001</v>
      </c>
      <c r="R89" s="9">
        <f t="shared" si="24"/>
        <v>-523290649.16464871</v>
      </c>
      <c r="S89" s="32">
        <f>+R89/P89</f>
        <v>0.63584111109909347</v>
      </c>
      <c r="T89" s="34"/>
      <c r="U89" s="41"/>
      <c r="V89" s="41"/>
      <c r="W89" s="2"/>
      <c r="X89" s="2"/>
    </row>
    <row r="90" spans="1:27" x14ac:dyDescent="0.25">
      <c r="D90" s="2"/>
      <c r="F90" s="2"/>
      <c r="I90" s="2"/>
      <c r="K90" s="2"/>
      <c r="L90" s="2"/>
      <c r="M90" s="2"/>
      <c r="N90" s="2"/>
      <c r="X90" s="2"/>
    </row>
    <row r="91" spans="1:27" x14ac:dyDescent="0.25">
      <c r="F91" s="2" t="s">
        <v>59</v>
      </c>
      <c r="I91" s="2"/>
      <c r="K91" s="2"/>
      <c r="R91" s="2"/>
      <c r="U91" s="2"/>
      <c r="X91" s="2" t="e">
        <f>+#REF!</f>
        <v>#REF!</v>
      </c>
      <c r="Y91" s="20"/>
      <c r="AA91" s="2"/>
    </row>
    <row r="92" spans="1:27" x14ac:dyDescent="0.25">
      <c r="B92" s="2"/>
      <c r="F92" s="2"/>
      <c r="I92" s="2"/>
      <c r="K92" s="2"/>
      <c r="X92" s="2">
        <f>815000000*1.07</f>
        <v>872050000</v>
      </c>
      <c r="Y92" s="20"/>
      <c r="AA92" s="2"/>
    </row>
    <row r="93" spans="1:27" x14ac:dyDescent="0.25">
      <c r="B93" s="2"/>
      <c r="K93" s="2"/>
      <c r="R93" s="3"/>
      <c r="U93" s="2"/>
      <c r="X93" s="2">
        <v>-1173139539</v>
      </c>
      <c r="Y93" s="20"/>
    </row>
    <row r="94" spans="1:27" x14ac:dyDescent="0.25">
      <c r="K94" s="2"/>
      <c r="R94" s="2"/>
      <c r="X94" s="2">
        <v>-272818809</v>
      </c>
      <c r="Y94" s="20">
        <v>371527244</v>
      </c>
      <c r="Z94" s="2">
        <f>+Y94+X94</f>
        <v>98708435</v>
      </c>
    </row>
    <row r="95" spans="1:27" x14ac:dyDescent="0.25">
      <c r="B95" s="2"/>
      <c r="K95" s="2"/>
      <c r="R95" s="2"/>
      <c r="X95" s="2">
        <f>-(2000000-1920114)*12</f>
        <v>-958632</v>
      </c>
      <c r="Y95" s="2"/>
    </row>
    <row r="96" spans="1:27" x14ac:dyDescent="0.25">
      <c r="D96" s="2">
        <f>+D13+D21+D25+D35+D36</f>
        <v>224928906.36000001</v>
      </c>
      <c r="E96" s="2"/>
      <c r="K96" s="2"/>
      <c r="R96" s="3"/>
      <c r="X96" s="2">
        <v>-49700000</v>
      </c>
      <c r="Y96" s="2"/>
    </row>
    <row r="97" spans="3:24" x14ac:dyDescent="0.25">
      <c r="C97" s="3"/>
      <c r="D97" s="3"/>
      <c r="E97" s="42"/>
      <c r="R97" s="24"/>
      <c r="X97" s="2">
        <f>-R33</f>
        <v>0</v>
      </c>
    </row>
    <row r="98" spans="3:24" x14ac:dyDescent="0.25">
      <c r="D98" s="2">
        <f>198741666-D96</f>
        <v>-26187240.360000014</v>
      </c>
      <c r="X98" s="2">
        <f>-R81</f>
        <v>0</v>
      </c>
    </row>
    <row r="99" spans="3:24" x14ac:dyDescent="0.25">
      <c r="D99">
        <f>+[29]EjecucionPptalPasiva!$S$11</f>
        <v>308530151</v>
      </c>
      <c r="X99" s="2">
        <f>+W23</f>
        <v>0</v>
      </c>
    </row>
    <row r="100" spans="3:24" x14ac:dyDescent="0.25">
      <c r="D100" s="2">
        <f>+D99-D88</f>
        <v>-26187240.360000014</v>
      </c>
      <c r="X100" s="2" t="e">
        <f>SUM(X91:X99)</f>
        <v>#REF!</v>
      </c>
    </row>
    <row r="101" spans="3:24" x14ac:dyDescent="0.25">
      <c r="X101" s="2" t="e">
        <f>+X100-R89</f>
        <v>#REF!</v>
      </c>
    </row>
  </sheetData>
  <autoFilter ref="A5:S89" xr:uid="{4C861BE8-7E5D-4966-A65F-7599F5FEBCAA}"/>
  <mergeCells count="4">
    <mergeCell ref="A1:C1"/>
    <mergeCell ref="A3:S3"/>
    <mergeCell ref="P4:S4"/>
    <mergeCell ref="C4:E4"/>
  </mergeCells>
  <pageMargins left="0.59055118110236227" right="0.39370078740157483" top="0.39370078740157483" bottom="0.59055118110236227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4B6F753C52164FB1D554AAB843CFC0" ma:contentTypeVersion="13" ma:contentTypeDescription="Crear nuevo documento." ma:contentTypeScope="" ma:versionID="fdd9a5179c0726be441dcaf29a862f93">
  <xsd:schema xmlns:xsd="http://www.w3.org/2001/XMLSchema" xmlns:xs="http://www.w3.org/2001/XMLSchema" xmlns:p="http://schemas.microsoft.com/office/2006/metadata/properties" xmlns:ns3="da22d1dd-5ebb-4fec-87c6-eff43ee1d269" xmlns:ns4="ad235908-71e9-4a93-8573-0051611839c1" targetNamespace="http://schemas.microsoft.com/office/2006/metadata/properties" ma:root="true" ma:fieldsID="80590b0a36ee7e8bc739f60b0312d037" ns3:_="" ns4:_="">
    <xsd:import namespace="da22d1dd-5ebb-4fec-87c6-eff43ee1d269"/>
    <xsd:import namespace="ad235908-71e9-4a93-8573-0051611839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2d1dd-5ebb-4fec-87c6-eff43ee1d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35908-71e9-4a93-8573-0051611839c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33DCCC-C4EA-4FBF-B0EF-41F66EE5C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96E7D1-AF9D-4C74-8F4E-A820F59BC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2d1dd-5ebb-4fec-87c6-eff43ee1d269"/>
    <ds:schemaRef ds:uri="ad235908-71e9-4a93-8573-005161183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B3523-AB61-47C1-90C2-93D428F47119}">
  <ds:schemaRefs>
    <ds:schemaRef ds:uri="http://schemas.microsoft.com/office/2006/metadata/properties"/>
    <ds:schemaRef ds:uri="ad235908-71e9-4a93-8573-0051611839c1"/>
    <ds:schemaRef ds:uri="http://www.w3.org/XML/1998/namespace"/>
    <ds:schemaRef ds:uri="http://schemas.microsoft.com/office/2006/documentManagement/types"/>
    <ds:schemaRef ds:uri="da22d1dd-5ebb-4fec-87c6-eff43ee1d26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202302M</vt:lpstr>
      <vt:lpstr>202501anual</vt:lpstr>
      <vt:lpstr>2026Ej</vt:lpstr>
      <vt:lpstr>202301</vt:lpstr>
      <vt:lpstr>'202301'!Área_de_impresión</vt:lpstr>
      <vt:lpstr>'202302M'!Área_de_impresión</vt:lpstr>
      <vt:lpstr>'202501anual'!Área_de_impresión</vt:lpstr>
      <vt:lpstr>'2026Ej'!Área_de_impresión</vt:lpstr>
      <vt:lpstr>'202301'!Títulos_a_imprimir</vt:lpstr>
      <vt:lpstr>'202302M'!Títulos_a_imprimir</vt:lpstr>
      <vt:lpstr>'202501anual'!Títulos_a_imprimir</vt:lpstr>
      <vt:lpstr>'2026Ej'!Títulos_a_imprimir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DANIEL ZAPATA YEPES</dc:creator>
  <cp:lastModifiedBy>Idalmy Palacios</cp:lastModifiedBy>
  <cp:lastPrinted>2025-12-15T18:02:08Z</cp:lastPrinted>
  <dcterms:created xsi:type="dcterms:W3CDTF">2021-06-03T01:26:57Z</dcterms:created>
  <dcterms:modified xsi:type="dcterms:W3CDTF">2026-08-20T01:43:14Z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6bb131-2344-48ed-84db-fe1e84a9fae2_Enabled">
    <vt:lpwstr>true</vt:lpwstr>
  </property>
  <property fmtid="{D5CDD505-2E9C-101B-9397-08002B2CF9AE}" pid="3" name="MSIP_Label_666bb131-2344-48ed-84db-fe1e84a9fae2_SetDate">
    <vt:lpwstr>2021-06-03T01:26:58Z</vt:lpwstr>
  </property>
  <property fmtid="{D5CDD505-2E9C-101B-9397-08002B2CF9AE}" pid="4" name="MSIP_Label_666bb131-2344-48ed-84db-fe1e84a9fae2_Method">
    <vt:lpwstr>Standard</vt:lpwstr>
  </property>
  <property fmtid="{D5CDD505-2E9C-101B-9397-08002B2CF9AE}" pid="5" name="MSIP_Label_666bb131-2344-48ed-84db-fe1e84a9fae2_Name">
    <vt:lpwstr>666bb131-2344-48ed-84db-fe1e84a9fae2</vt:lpwstr>
  </property>
  <property fmtid="{D5CDD505-2E9C-101B-9397-08002B2CF9AE}" pid="6" name="MSIP_Label_666bb131-2344-48ed-84db-fe1e84a9fae2_SiteId">
    <vt:lpwstr>bf1ce8b5-5d39-4bc5-ad6e-07b3e4d7d67a</vt:lpwstr>
  </property>
  <property fmtid="{D5CDD505-2E9C-101B-9397-08002B2CF9AE}" pid="7" name="MSIP_Label_666bb131-2344-48ed-84db-fe1e84a9fae2_ActionId">
    <vt:lpwstr>57355c52-4144-49a0-b163-dcd799bb362e</vt:lpwstr>
  </property>
  <property fmtid="{D5CDD505-2E9C-101B-9397-08002B2CF9AE}" pid="8" name="MSIP_Label_666bb131-2344-48ed-84db-fe1e84a9fae2_ContentBits">
    <vt:lpwstr>0</vt:lpwstr>
  </property>
  <property fmtid="{D5CDD505-2E9C-101B-9397-08002B2CF9AE}" pid="9" name="ContentTypeId">
    <vt:lpwstr>0x010100234B6F753C52164FB1D554AAB843CFC0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