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9.xml" ContentType="application/vnd.ms-excel.person+xml"/>
  <Override PartName="/xl/persons/person5.xml" ContentType="application/vnd.ms-excel.person+xml"/>
  <Override PartName="/xl/persons/person0.xml" ContentType="application/vnd.ms-excel.person+xml"/>
  <Override PartName="/xl/persons/person33.xml" ContentType="application/vnd.ms-excel.person+xml"/>
  <Override PartName="/xl/persons/person45.xml" ContentType="application/vnd.ms-excel.person+xml"/>
  <Override PartName="/xl/persons/person1.xml" ContentType="application/vnd.ms-excel.person+xml"/>
  <Override PartName="/xl/persons/person16.xml" ContentType="application/vnd.ms-excel.person+xml"/>
  <Override PartName="/xl/persons/person26.xml" ContentType="application/vnd.ms-excel.person+xml"/>
  <Override PartName="/xl/persons/person42.xml" ContentType="application/vnd.ms-excel.person+xml"/>
  <Override PartName="/xl/persons/person46.xml" ContentType="application/vnd.ms-excel.person+xml"/>
  <Override PartName="/xl/persons/person20.xml" ContentType="application/vnd.ms-excel.person+xml"/>
  <Override PartName="/xl/persons/person4.xml" ContentType="application/vnd.ms-excel.person+xml"/>
  <Override PartName="/xl/persons/person31.xml" ContentType="application/vnd.ms-excel.person+xml"/>
  <Override PartName="/xl/persons/person11.xml" ContentType="application/vnd.ms-excel.person+xml"/>
  <Override PartName="/xl/persons/person19.xml" ContentType="application/vnd.ms-excel.person+xml"/>
  <Override PartName="/xl/persons/person37.xml" ContentType="application/vnd.ms-excel.person+xml"/>
  <Override PartName="/xl/persons/person50.xml" ContentType="application/vnd.ms-excel.person+xml"/>
  <Override PartName="/xl/persons/person39.xml" ContentType="application/vnd.ms-excel.person+xml"/>
  <Override PartName="/xl/persons/person8.xml" ContentType="application/vnd.ms-excel.person+xml"/>
  <Override PartName="/xl/persons/person13.xml" ContentType="application/vnd.ms-excel.person+xml"/>
  <Override PartName="/xl/persons/person34.xml" ContentType="application/vnd.ms-excel.person+xml"/>
  <Override PartName="/xl/persons/person18.xml" ContentType="application/vnd.ms-excel.person+xml"/>
  <Override PartName="/xl/persons/person25.xml" ContentType="application/vnd.ms-excel.person+xml"/>
  <Override PartName="/xl/persons/person2.xml" ContentType="application/vnd.ms-excel.person+xml"/>
  <Override PartName="/xl/persons/person12.xml" ContentType="application/vnd.ms-excel.person+xml"/>
  <Override PartName="/xl/persons/person3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36.xml" ContentType="application/vnd.ms-excel.person+xml"/>
  <Override PartName="/xl/persons/person6.xml" ContentType="application/vnd.ms-excel.person+xml"/>
  <Override PartName="/xl/persons/person10.xml" ContentType="application/vnd.ms-excel.person+xml"/>
  <Override PartName="/xl/persons/person21.xml" ContentType="application/vnd.ms-excel.person+xml"/>
  <Override PartName="/xl/persons/person7.xml" ContentType="application/vnd.ms-excel.person+xml"/>
  <Override PartName="/xl/persons/person48.xml" ContentType="application/vnd.ms-excel.person+xml"/>
  <Override PartName="/xl/persons/person27.xml" ContentType="application/vnd.ms-excel.person+xml"/>
  <Override PartName="/xl/persons/person24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8.xml" ContentType="application/vnd.ms-excel.person+xml"/>
  <Override PartName="/xl/persons/person44.xml" ContentType="application/vnd.ms-excel.person+xml"/>
  <Override PartName="/xl/persons/person49.xml" ContentType="application/vnd.ms-excel.person+xml"/>
  <Override PartName="/xl/persons/person23.xml" ContentType="application/vnd.ms-excel.person+xml"/>
  <Override PartName="/xl/persons/person22.xml" ContentType="application/vnd.ms-excel.person+xml"/>
  <Override PartName="/xl/persons/person41.xml" ContentType="application/vnd.ms-excel.person+xml"/>
  <Override PartName="/xl/persons/person35.xml" ContentType="application/vnd.ms-excel.person+xml"/>
  <Override PartName="/xl/persons/person14.xml" ContentType="application/vnd.ms-excel.person+xml"/>
  <Override PartName="/xl/persons/person17.xml" ContentType="application/vnd.ms-excel.person+xml"/>
  <Override PartName="/xl/persons/person32.xml" ContentType="application/vnd.ms-excel.person+xml"/>
  <Override PartName="/xl/persons/person40.xml" ContentType="application/vnd.ms-excel.person+xml"/>
  <Override PartName="/xl/persons/person28.xml" ContentType="application/vnd.ms-excel.person+xml"/>
  <Override PartName="/xl/persons/person47.xml" ContentType="application/vnd.ms-excel.person+xml"/>
  <Override PartName="/xl/persons/person51.xml" ContentType="application/vnd.ms-excel.person+xml"/>
  <Override PartName="/xl/persons/person29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&amp;K\INFORME MENSUAL\INFORME MENSUAL P&amp;K 2025\12. diciembre p&amp;k\"/>
    </mc:Choice>
  </mc:AlternateContent>
  <xr:revisionPtr revIDLastSave="0" documentId="8_{93137F35-7033-4A85-8B25-FCB6F582C880}" xr6:coauthVersionLast="47" xr6:coauthVersionMax="47" xr10:uidLastSave="{00000000-0000-0000-0000-000000000000}"/>
  <bookViews>
    <workbookView xWindow="-120" yWindow="-120" windowWidth="20730" windowHeight="11160" firstSheet="2" activeTab="2" xr2:uid="{8E7A32EE-77C1-49B1-AC05-7D92B0B48E95}"/>
  </bookViews>
  <sheets>
    <sheet name="202302M" sheetId="14" state="hidden" r:id="rId1"/>
    <sheet name="202501anual" sheetId="9" state="hidden" r:id="rId2"/>
    <sheet name="2025Ej" sheetId="10" r:id="rId3"/>
    <sheet name="202301" sheetId="8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xlnm._FilterDatabase" localSheetId="3" hidden="1">'202301'!$A$5:$S$89</definedName>
    <definedName name="_xlnm._FilterDatabase" localSheetId="0" hidden="1">'202302M'!$A$5:$AD$89</definedName>
    <definedName name="_xlnm._FilterDatabase" localSheetId="1" hidden="1">'202501anual'!$A$5:$O$149</definedName>
    <definedName name="_xlnm._FilterDatabase" localSheetId="2" hidden="1">'2025Ej'!$A$5:$AP$96</definedName>
    <definedName name="_xlnm.Print_Area" localSheetId="3">'202301'!$A$1:$S$89</definedName>
    <definedName name="_xlnm.Print_Area" localSheetId="0">'202302M'!$A$1:$AD$89</definedName>
    <definedName name="_xlnm.Print_Area" localSheetId="1">'202501anual'!$A$1:$O$149</definedName>
    <definedName name="_xlnm.Print_Area" localSheetId="2">'2025Ej'!$A$1:$AP$96</definedName>
    <definedName name="_xlnm.Print_Titles" localSheetId="3">'202301'!$1:$5</definedName>
    <definedName name="_xlnm.Print_Titles" localSheetId="0">'202302M'!$1:$5</definedName>
    <definedName name="_xlnm.Print_Titles" localSheetId="1">'202501anual'!$1:$5</definedName>
    <definedName name="_xlnm.Print_Titles" localSheetId="2">'2025Ej'!$1:$5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3" i="10" l="1"/>
  <c r="AK14" i="10"/>
  <c r="AK11" i="10"/>
  <c r="AK10" i="10"/>
  <c r="AK6" i="10"/>
  <c r="AL100" i="10" l="1"/>
  <c r="AK51" i="10"/>
  <c r="AK37" i="10"/>
  <c r="AK29" i="10"/>
  <c r="AK25" i="10"/>
  <c r="AK17" i="10"/>
  <c r="AK79" i="10"/>
  <c r="AJ91" i="10"/>
  <c r="AJ78" i="10"/>
  <c r="AJ74" i="10"/>
  <c r="AJ68" i="10"/>
  <c r="AJ60" i="10"/>
  <c r="AJ56" i="10"/>
  <c r="AJ54" i="10"/>
  <c r="AJ49" i="10"/>
  <c r="AJ26" i="10"/>
  <c r="AJ11" i="10"/>
  <c r="AJ14" i="10"/>
  <c r="AJ10" i="10"/>
  <c r="AJ16" i="10" s="1"/>
  <c r="AJ6" i="10"/>
  <c r="N115" i="9"/>
  <c r="AJ70" i="10" s="1"/>
  <c r="M115" i="9"/>
  <c r="N137" i="9"/>
  <c r="AJ77" i="10" s="1"/>
  <c r="N94" i="9"/>
  <c r="N96" i="9"/>
  <c r="AJ40" i="10" s="1"/>
  <c r="N107" i="9"/>
  <c r="AJ44" i="10" s="1"/>
  <c r="N121" i="9"/>
  <c r="AJ48" i="10" s="1"/>
  <c r="N88" i="9"/>
  <c r="AJ39" i="10" s="1"/>
  <c r="N131" i="9"/>
  <c r="AJ89" i="10" s="1"/>
  <c r="N119" i="9"/>
  <c r="AJ72" i="10" s="1"/>
  <c r="N122" i="9"/>
  <c r="N93" i="9"/>
  <c r="AJ55" i="10" s="1"/>
  <c r="N139" i="9"/>
  <c r="N114" i="9"/>
  <c r="AJ69" i="10" s="1"/>
  <c r="N105" i="9"/>
  <c r="AJ63" i="10" s="1"/>
  <c r="N103" i="9"/>
  <c r="AJ62" i="10" s="1"/>
  <c r="N113" i="9"/>
  <c r="N101" i="9"/>
  <c r="AJ61" i="10" s="1"/>
  <c r="N99" i="9"/>
  <c r="AJ59" i="10" s="1"/>
  <c r="N97" i="9"/>
  <c r="AJ57" i="10" s="1"/>
  <c r="N92" i="9"/>
  <c r="M92" i="9"/>
  <c r="N141" i="9"/>
  <c r="AJ79" i="10" s="1"/>
  <c r="N59" i="9"/>
  <c r="N64" i="9"/>
  <c r="N78" i="9"/>
  <c r="N71" i="9"/>
  <c r="N40" i="9"/>
  <c r="N50" i="9"/>
  <c r="N26" i="9"/>
  <c r="N46" i="9"/>
  <c r="N24" i="9"/>
  <c r="N23" i="9"/>
  <c r="N21" i="9"/>
  <c r="N143" i="9" l="1"/>
  <c r="AJ81" i="10" s="1"/>
  <c r="N98" i="9" l="1"/>
  <c r="AJ58" i="10" s="1"/>
  <c r="AU26" i="10" l="1"/>
  <c r="AT26" i="10"/>
  <c r="AU19" i="10"/>
  <c r="AT19" i="10"/>
  <c r="AV17" i="10"/>
  <c r="AV16" i="10"/>
  <c r="AH79" i="10"/>
  <c r="AH26" i="10"/>
  <c r="AH33" i="10"/>
  <c r="AH34" i="10"/>
  <c r="AH23" i="10"/>
  <c r="AH25" i="10"/>
  <c r="AH14" i="10"/>
  <c r="AH13" i="10"/>
  <c r="AH11" i="10"/>
  <c r="AH10" i="10"/>
  <c r="AH6" i="10"/>
  <c r="AG60" i="10"/>
  <c r="AG72" i="10"/>
  <c r="AH91" i="10"/>
  <c r="AG68" i="10"/>
  <c r="AG52" i="10"/>
  <c r="AG49" i="10"/>
  <c r="AG14" i="10"/>
  <c r="AG11" i="10"/>
  <c r="AG10" i="10"/>
  <c r="AG6" i="10"/>
  <c r="M137" i="9"/>
  <c r="AG77" i="10" s="1"/>
  <c r="M123" i="9"/>
  <c r="AG46" i="10" s="1"/>
  <c r="M96" i="9"/>
  <c r="AG40" i="10" s="1"/>
  <c r="M107" i="9"/>
  <c r="AG44" i="10" s="1"/>
  <c r="M121" i="9"/>
  <c r="AG48" i="10" s="1"/>
  <c r="M117" i="9"/>
  <c r="AG45" i="10" s="1"/>
  <c r="M88" i="9"/>
  <c r="AG39" i="10" s="1"/>
  <c r="M132" i="9"/>
  <c r="AG91" i="10" s="1"/>
  <c r="M93" i="9"/>
  <c r="AG55" i="10" s="1"/>
  <c r="AG54" i="10"/>
  <c r="M139" i="9"/>
  <c r="AG78" i="10" s="1"/>
  <c r="M105" i="9"/>
  <c r="AG63" i="10" s="1"/>
  <c r="M103" i="9"/>
  <c r="AG62" i="10" s="1"/>
  <c r="M101" i="9"/>
  <c r="AG61" i="10" s="1"/>
  <c r="M99" i="9"/>
  <c r="AG59" i="10" s="1"/>
  <c r="M97" i="9"/>
  <c r="AG57" i="10" s="1"/>
  <c r="M91" i="9"/>
  <c r="AG53" i="10" s="1"/>
  <c r="M136" i="9"/>
  <c r="AG76" i="10" s="1"/>
  <c r="M142" i="9"/>
  <c r="AG80" i="10" s="1"/>
  <c r="M141" i="9"/>
  <c r="AG79" i="10" s="1"/>
  <c r="M134" i="9"/>
  <c r="AG75" i="10" s="1"/>
  <c r="M118" i="9"/>
  <c r="AG71" i="10" s="1"/>
  <c r="AG70" i="10"/>
  <c r="M145" i="9"/>
  <c r="AG84" i="10" s="1"/>
  <c r="M144" i="9"/>
  <c r="AG82" i="10" s="1"/>
  <c r="M50" i="9"/>
  <c r="AG26" i="10" s="1"/>
  <c r="M81" i="9"/>
  <c r="M71" i="9"/>
  <c r="M63" i="9"/>
  <c r="M59" i="9"/>
  <c r="M43" i="9"/>
  <c r="M22" i="9"/>
  <c r="M26" i="9"/>
  <c r="M41" i="9"/>
  <c r="M46" i="9"/>
  <c r="M21" i="9"/>
  <c r="AG56" i="10" l="1"/>
  <c r="M94" i="9"/>
  <c r="M38" i="9"/>
  <c r="AG23" i="10" s="1"/>
  <c r="M143" i="9" l="1"/>
  <c r="AG81" i="10" s="1"/>
  <c r="M98" i="9" l="1"/>
  <c r="AG58" i="10" s="1"/>
  <c r="P165" i="9" l="1"/>
  <c r="AE29" i="10" l="1"/>
  <c r="AE25" i="10"/>
  <c r="AE26" i="10"/>
  <c r="AE79" i="10"/>
  <c r="AE32" i="10"/>
  <c r="AE33" i="10"/>
  <c r="AE23" i="10"/>
  <c r="AE19" i="10"/>
  <c r="AD60" i="10"/>
  <c r="AD92" i="10"/>
  <c r="AD91" i="10"/>
  <c r="AD93" i="10" s="1"/>
  <c r="AD70" i="10"/>
  <c r="AD68" i="10"/>
  <c r="AD52" i="10"/>
  <c r="AD38" i="10"/>
  <c r="L137" i="9"/>
  <c r="AD77" i="10" s="1"/>
  <c r="L123" i="9"/>
  <c r="AD46" i="10" s="1"/>
  <c r="L96" i="9"/>
  <c r="AD40" i="10" s="1"/>
  <c r="L107" i="9"/>
  <c r="AD44" i="10" s="1"/>
  <c r="L117" i="9"/>
  <c r="AD45" i="10" s="1"/>
  <c r="L88" i="9"/>
  <c r="AD39" i="10" s="1"/>
  <c r="L138" i="9"/>
  <c r="AD49" i="10" s="1"/>
  <c r="L93" i="9"/>
  <c r="AD55" i="10" s="1"/>
  <c r="L139" i="9"/>
  <c r="AD78" i="10" s="1"/>
  <c r="L103" i="9"/>
  <c r="AD62" i="10" s="1"/>
  <c r="L105" i="9"/>
  <c r="AD63" i="10" s="1"/>
  <c r="L101" i="9"/>
  <c r="AD61" i="10" s="1"/>
  <c r="L99" i="9"/>
  <c r="AD59" i="10" s="1"/>
  <c r="L121" i="9"/>
  <c r="AD48" i="10" s="1"/>
  <c r="L97" i="9"/>
  <c r="AD57" i="10" s="1"/>
  <c r="L92" i="9"/>
  <c r="AD54" i="10" s="1"/>
  <c r="L91" i="9"/>
  <c r="AD53" i="10" s="1"/>
  <c r="L111" i="9"/>
  <c r="L136" i="9"/>
  <c r="AD76" i="10" s="1"/>
  <c r="L119" i="9"/>
  <c r="AD72" i="10" s="1"/>
  <c r="L142" i="9"/>
  <c r="AD80" i="10" s="1"/>
  <c r="L141" i="9"/>
  <c r="AD79" i="10" s="1"/>
  <c r="L134" i="9"/>
  <c r="AD75" i="10" s="1"/>
  <c r="L118" i="9"/>
  <c r="AD71" i="10" s="1"/>
  <c r="L145" i="9"/>
  <c r="AD84" i="10" s="1"/>
  <c r="L144" i="9"/>
  <c r="AD82" i="10" s="1"/>
  <c r="L50" i="9"/>
  <c r="AD26" i="10" s="1"/>
  <c r="L81" i="9"/>
  <c r="L56" i="9"/>
  <c r="L71" i="9"/>
  <c r="L63" i="9"/>
  <c r="L60" i="9"/>
  <c r="L59" i="9"/>
  <c r="L20" i="9"/>
  <c r="L43" i="9"/>
  <c r="L26" i="9"/>
  <c r="L42" i="9"/>
  <c r="L41" i="9"/>
  <c r="L46" i="9"/>
  <c r="L24" i="9"/>
  <c r="L21" i="9"/>
  <c r="L38" i="9" l="1"/>
  <c r="AD23" i="10" s="1"/>
  <c r="AE15" i="10" l="1"/>
  <c r="AF15" i="10" s="1"/>
  <c r="AE14" i="10"/>
  <c r="AE11" i="10"/>
  <c r="AE10" i="10"/>
  <c r="AE6" i="10"/>
  <c r="AE13" i="10"/>
  <c r="AD14" i="10" l="1"/>
  <c r="AD11" i="10"/>
  <c r="AD10" i="10"/>
  <c r="AD6" i="10"/>
  <c r="AB39" i="10"/>
  <c r="AB29" i="10"/>
  <c r="AB25" i="10"/>
  <c r="AB17" i="10"/>
  <c r="AB56" i="10"/>
  <c r="AB34" i="10"/>
  <c r="AB19" i="10"/>
  <c r="AB32" i="10"/>
  <c r="AB33" i="10"/>
  <c r="AB23" i="10"/>
  <c r="AA52" i="10"/>
  <c r="AA49" i="10"/>
  <c r="K119" i="9"/>
  <c r="AA72" i="10" s="1"/>
  <c r="J119" i="9"/>
  <c r="X72" i="10" s="1"/>
  <c r="K94" i="9"/>
  <c r="AA56" i="10" s="1"/>
  <c r="J94" i="9"/>
  <c r="K87" i="9"/>
  <c r="AA38" i="10" s="1"/>
  <c r="J87" i="9"/>
  <c r="K122" i="9"/>
  <c r="AA74" i="10" s="1"/>
  <c r="K93" i="9"/>
  <c r="AA55" i="10" s="1"/>
  <c r="K139" i="9"/>
  <c r="AA78" i="10" s="1"/>
  <c r="K105" i="9"/>
  <c r="AA63" i="10" s="1"/>
  <c r="K103" i="9"/>
  <c r="AA62" i="10" s="1"/>
  <c r="K101" i="9"/>
  <c r="AA61" i="10" s="1"/>
  <c r="K99" i="9"/>
  <c r="AA59" i="10" s="1"/>
  <c r="K97" i="9"/>
  <c r="AA57" i="10" s="1"/>
  <c r="K92" i="9"/>
  <c r="AA54" i="10" s="1"/>
  <c r="K91" i="9"/>
  <c r="AA53" i="10" s="1"/>
  <c r="K136" i="9"/>
  <c r="AA76" i="10" s="1"/>
  <c r="K142" i="9"/>
  <c r="AA80" i="10" s="1"/>
  <c r="K100" i="9"/>
  <c r="AA60" i="10" s="1"/>
  <c r="K141" i="9"/>
  <c r="AA79" i="10" s="1"/>
  <c r="K134" i="9"/>
  <c r="AA75" i="10" s="1"/>
  <c r="K118" i="9"/>
  <c r="AA71" i="10" s="1"/>
  <c r="K115" i="9"/>
  <c r="AA70" i="10" s="1"/>
  <c r="K145" i="9"/>
  <c r="AA84" i="10" s="1"/>
  <c r="K144" i="9"/>
  <c r="AA82" i="10" s="1"/>
  <c r="K137" i="9"/>
  <c r="AA77" i="10" s="1"/>
  <c r="K123" i="9"/>
  <c r="AA46" i="10" s="1"/>
  <c r="K96" i="9"/>
  <c r="AA40" i="10" s="1"/>
  <c r="K107" i="9"/>
  <c r="AA44" i="10" s="1"/>
  <c r="K121" i="9"/>
  <c r="AA48" i="10" s="1"/>
  <c r="K117" i="9"/>
  <c r="AA45" i="10" s="1"/>
  <c r="K88" i="9"/>
  <c r="K81" i="9"/>
  <c r="K71" i="9"/>
  <c r="K60" i="9"/>
  <c r="K59" i="9"/>
  <c r="K133" i="9"/>
  <c r="AA92" i="10" s="1"/>
  <c r="K132" i="9"/>
  <c r="AA91" i="10" s="1"/>
  <c r="K50" i="9"/>
  <c r="AA26" i="10" s="1"/>
  <c r="K40" i="9"/>
  <c r="K24" i="9"/>
  <c r="K43" i="9"/>
  <c r="K26" i="9"/>
  <c r="K46" i="9"/>
  <c r="K63" i="9"/>
  <c r="J63" i="9"/>
  <c r="AB13" i="10" l="1"/>
  <c r="AB11" i="10"/>
  <c r="AB10" i="10"/>
  <c r="AB6" i="10"/>
  <c r="AB14" i="10"/>
  <c r="AA14" i="10" l="1"/>
  <c r="AA11" i="10"/>
  <c r="AA10" i="10"/>
  <c r="AA6" i="10"/>
  <c r="X15" i="10"/>
  <c r="Z15" i="10"/>
  <c r="Z83" i="10"/>
  <c r="X52" i="10"/>
  <c r="X91" i="10"/>
  <c r="X90" i="10"/>
  <c r="X86" i="10"/>
  <c r="X70" i="10"/>
  <c r="X69" i="10"/>
  <c r="X64" i="10"/>
  <c r="X47" i="10"/>
  <c r="X41" i="10"/>
  <c r="J139" i="9"/>
  <c r="J137" i="9"/>
  <c r="X77" i="10" s="1"/>
  <c r="X38" i="10"/>
  <c r="J123" i="9"/>
  <c r="J103" i="9"/>
  <c r="J96" i="9"/>
  <c r="J107" i="9"/>
  <c r="J121" i="9"/>
  <c r="J117" i="9"/>
  <c r="J88" i="9"/>
  <c r="J133" i="9"/>
  <c r="J93" i="9"/>
  <c r="J114" i="9"/>
  <c r="J105" i="9"/>
  <c r="J113" i="9"/>
  <c r="X68" i="10" s="1"/>
  <c r="J101" i="9"/>
  <c r="J99" i="9"/>
  <c r="J97" i="9"/>
  <c r="X57" i="10" s="1"/>
  <c r="J92" i="9"/>
  <c r="J91" i="9"/>
  <c r="J136" i="9"/>
  <c r="X76" i="10" s="1"/>
  <c r="J142" i="9"/>
  <c r="J141" i="9"/>
  <c r="J134" i="9"/>
  <c r="J118" i="9"/>
  <c r="X71" i="10" s="1"/>
  <c r="J145" i="9"/>
  <c r="J144" i="9"/>
  <c r="I145" i="9"/>
  <c r="I144" i="9"/>
  <c r="J42" i="9"/>
  <c r="J41" i="9"/>
  <c r="J81" i="9"/>
  <c r="J79" i="9"/>
  <c r="J65" i="9"/>
  <c r="J60" i="9"/>
  <c r="J59" i="9"/>
  <c r="J50" i="9"/>
  <c r="X26" i="10" s="1"/>
  <c r="J43" i="9"/>
  <c r="I43" i="9"/>
  <c r="J26" i="9"/>
  <c r="J46" i="9"/>
  <c r="J24" i="9"/>
  <c r="J21" i="9"/>
  <c r="X14" i="10"/>
  <c r="X11" i="10"/>
  <c r="X10" i="10"/>
  <c r="X6" i="10"/>
  <c r="X56" i="10" l="1"/>
  <c r="J76" i="9"/>
  <c r="X34" i="10" s="1"/>
  <c r="J38" i="9"/>
  <c r="X23" i="10" s="1"/>
  <c r="V29" i="10" l="1"/>
  <c r="V25" i="10"/>
  <c r="V17" i="10"/>
  <c r="AN83" i="10"/>
  <c r="V34" i="10"/>
  <c r="V79" i="10"/>
  <c r="V57" i="10"/>
  <c r="W57" i="10"/>
  <c r="W59" i="10"/>
  <c r="X74" i="10"/>
  <c r="U73" i="10"/>
  <c r="X73" i="10" s="1"/>
  <c r="U68" i="10"/>
  <c r="U65" i="10"/>
  <c r="X65" i="10" s="1"/>
  <c r="U89" i="10"/>
  <c r="X89" i="10" s="1"/>
  <c r="U88" i="10"/>
  <c r="X88" i="10" s="1"/>
  <c r="U72" i="10"/>
  <c r="U56" i="10"/>
  <c r="U49" i="10"/>
  <c r="U42" i="10"/>
  <c r="X42" i="10" s="1"/>
  <c r="U26" i="10"/>
  <c r="U67" i="10"/>
  <c r="X67" i="10" s="1"/>
  <c r="U35" i="10"/>
  <c r="I137" i="9"/>
  <c r="U77" i="10" s="1"/>
  <c r="I123" i="9"/>
  <c r="U46" i="10" s="1"/>
  <c r="X46" i="10" s="1"/>
  <c r="I96" i="9"/>
  <c r="U40" i="10" s="1"/>
  <c r="X40" i="10" s="1"/>
  <c r="I107" i="9"/>
  <c r="U44" i="10" s="1"/>
  <c r="X44" i="10" s="1"/>
  <c r="I121" i="9"/>
  <c r="U48" i="10" s="1"/>
  <c r="X48" i="10" s="1"/>
  <c r="I117" i="9"/>
  <c r="U45" i="10" s="1"/>
  <c r="X45" i="10" s="1"/>
  <c r="I88" i="9"/>
  <c r="U39" i="10" s="1"/>
  <c r="X39" i="10" s="1"/>
  <c r="I133" i="9"/>
  <c r="U92" i="10" s="1"/>
  <c r="X92" i="10" s="1"/>
  <c r="I131" i="9"/>
  <c r="U87" i="10" s="1"/>
  <c r="I97" i="9"/>
  <c r="I93" i="9"/>
  <c r="U55" i="10" s="1"/>
  <c r="X55" i="10" s="1"/>
  <c r="I139" i="9"/>
  <c r="U78" i="10" s="1"/>
  <c r="X78" i="10" s="1"/>
  <c r="I105" i="9"/>
  <c r="U63" i="10" s="1"/>
  <c r="X63" i="10" s="1"/>
  <c r="I103" i="9"/>
  <c r="U62" i="10" s="1"/>
  <c r="X62" i="10" s="1"/>
  <c r="I101" i="9"/>
  <c r="U61" i="10" s="1"/>
  <c r="X61" i="10" s="1"/>
  <c r="I99" i="9"/>
  <c r="I92" i="9"/>
  <c r="U54" i="10" s="1"/>
  <c r="X54" i="10" s="1"/>
  <c r="I91" i="9"/>
  <c r="U53" i="10" s="1"/>
  <c r="X53" i="10" s="1"/>
  <c r="I142" i="9"/>
  <c r="U80" i="10" s="1"/>
  <c r="X80" i="10" s="1"/>
  <c r="I136" i="9"/>
  <c r="U76" i="10" s="1"/>
  <c r="I100" i="9"/>
  <c r="U60" i="10" s="1"/>
  <c r="W60" i="10" s="1"/>
  <c r="I141" i="9"/>
  <c r="U79" i="10" s="1"/>
  <c r="X79" i="10" s="1"/>
  <c r="I134" i="9"/>
  <c r="U75" i="10" s="1"/>
  <c r="X75" i="10" s="1"/>
  <c r="I118" i="9"/>
  <c r="I115" i="9"/>
  <c r="I63" i="9"/>
  <c r="I22" i="9"/>
  <c r="I41" i="9"/>
  <c r="I146" i="9"/>
  <c r="U83" i="10" s="1"/>
  <c r="W83" i="10" s="1"/>
  <c r="I60" i="9"/>
  <c r="I79" i="9"/>
  <c r="I59" i="9"/>
  <c r="I45" i="9"/>
  <c r="H45" i="9"/>
  <c r="H41" i="9"/>
  <c r="I46" i="9"/>
  <c r="I23" i="9"/>
  <c r="U93" i="10" l="1"/>
  <c r="I26" i="9" l="1"/>
  <c r="I24" i="9"/>
  <c r="I20" i="9"/>
  <c r="H20" i="9"/>
  <c r="U14" i="10"/>
  <c r="U11" i="10"/>
  <c r="U10" i="10"/>
  <c r="U6" i="10"/>
  <c r="S50" i="10"/>
  <c r="M50" i="10"/>
  <c r="J50" i="10"/>
  <c r="I50" i="10"/>
  <c r="G50" i="10"/>
  <c r="F50" i="10"/>
  <c r="D50" i="10"/>
  <c r="S85" i="10"/>
  <c r="J85" i="10"/>
  <c r="I85" i="10"/>
  <c r="G85" i="10"/>
  <c r="F85" i="10"/>
  <c r="D85" i="10"/>
  <c r="C85" i="10"/>
  <c r="S16" i="10"/>
  <c r="T69" i="10"/>
  <c r="T65" i="10"/>
  <c r="T64" i="10"/>
  <c r="S24" i="10"/>
  <c r="R89" i="10"/>
  <c r="T89" i="10" s="1"/>
  <c r="R88" i="10"/>
  <c r="T88" i="10" s="1"/>
  <c r="R87" i="10"/>
  <c r="T87" i="10" s="1"/>
  <c r="R86" i="10"/>
  <c r="R73" i="10"/>
  <c r="T73" i="10" s="1"/>
  <c r="R70" i="10"/>
  <c r="T70" i="10" s="1"/>
  <c r="R67" i="10"/>
  <c r="T67" i="10" s="1"/>
  <c r="R66" i="10"/>
  <c r="T66" i="10" s="1"/>
  <c r="R56" i="10"/>
  <c r="T56" i="10" s="1"/>
  <c r="R49" i="10"/>
  <c r="R43" i="10"/>
  <c r="H137" i="9"/>
  <c r="R77" i="10" s="1"/>
  <c r="T77" i="10" s="1"/>
  <c r="H133" i="9"/>
  <c r="R92" i="10" s="1"/>
  <c r="H90" i="9"/>
  <c r="H96" i="9"/>
  <c r="R40" i="10" s="1"/>
  <c r="H107" i="9"/>
  <c r="R44" i="10" s="1"/>
  <c r="H121" i="9"/>
  <c r="R48" i="10" s="1"/>
  <c r="H117" i="9"/>
  <c r="R45" i="10" s="1"/>
  <c r="H116" i="9"/>
  <c r="R42" i="10" s="1"/>
  <c r="H122" i="9"/>
  <c r="R74" i="10" s="1"/>
  <c r="T74" i="10" s="1"/>
  <c r="H93" i="9"/>
  <c r="R55" i="10" s="1"/>
  <c r="T55" i="10" s="1"/>
  <c r="H139" i="9"/>
  <c r="R78" i="10" s="1"/>
  <c r="T78" i="10" s="1"/>
  <c r="G100" i="9"/>
  <c r="H100" i="9"/>
  <c r="R60" i="10" s="1"/>
  <c r="T60" i="10" s="1"/>
  <c r="H105" i="9"/>
  <c r="R63" i="10" s="1"/>
  <c r="T63" i="10" s="1"/>
  <c r="H103" i="9"/>
  <c r="R62" i="10" s="1"/>
  <c r="T62" i="10" s="1"/>
  <c r="H113" i="9"/>
  <c r="R68" i="10" s="1"/>
  <c r="T68" i="10" s="1"/>
  <c r="H101" i="9"/>
  <c r="R61" i="10" s="1"/>
  <c r="T61" i="10" s="1"/>
  <c r="H99" i="9"/>
  <c r="R59" i="10" s="1"/>
  <c r="T59" i="10" s="1"/>
  <c r="H97" i="9"/>
  <c r="R57" i="10" s="1"/>
  <c r="T57" i="10" s="1"/>
  <c r="H92" i="9"/>
  <c r="R54" i="10" s="1"/>
  <c r="T54" i="10" s="1"/>
  <c r="H91" i="9"/>
  <c r="R53" i="10" s="1"/>
  <c r="H123" i="9"/>
  <c r="R46" i="10" s="1"/>
  <c r="H89" i="9"/>
  <c r="H88" i="9"/>
  <c r="R39" i="10" s="1"/>
  <c r="H136" i="9"/>
  <c r="R76" i="10" s="1"/>
  <c r="T76" i="10" s="1"/>
  <c r="H142" i="9"/>
  <c r="R80" i="10" s="1"/>
  <c r="T80" i="10" s="1"/>
  <c r="H119" i="9"/>
  <c r="R72" i="10" s="1"/>
  <c r="T72" i="10" s="1"/>
  <c r="H141" i="9"/>
  <c r="R79" i="10" s="1"/>
  <c r="T79" i="10" s="1"/>
  <c r="H134" i="9"/>
  <c r="R75" i="10" s="1"/>
  <c r="T75" i="10" s="1"/>
  <c r="H118" i="9"/>
  <c r="R71" i="10" s="1"/>
  <c r="T71" i="10" s="1"/>
  <c r="H146" i="9"/>
  <c r="R83" i="10" s="1"/>
  <c r="T83" i="10" s="1"/>
  <c r="H145" i="9"/>
  <c r="R84" i="10" s="1"/>
  <c r="T84" i="10" s="1"/>
  <c r="H144" i="9"/>
  <c r="R82" i="10" s="1"/>
  <c r="T82" i="10" s="1"/>
  <c r="H63" i="9"/>
  <c r="H22" i="9"/>
  <c r="H81" i="9"/>
  <c r="H79" i="9"/>
  <c r="H74" i="9"/>
  <c r="H67" i="9"/>
  <c r="H60" i="9"/>
  <c r="H59" i="9"/>
  <c r="H50" i="9"/>
  <c r="R26" i="10" s="1"/>
  <c r="H43" i="9"/>
  <c r="H26" i="9"/>
  <c r="H46" i="9"/>
  <c r="T12" i="10"/>
  <c r="T13" i="10"/>
  <c r="R11" i="10"/>
  <c r="R6" i="10"/>
  <c r="R14" i="10"/>
  <c r="R52" i="10" l="1"/>
  <c r="T52" i="10" s="1"/>
  <c r="T92" i="10"/>
  <c r="R93" i="10"/>
  <c r="T53" i="10"/>
  <c r="H38" i="9"/>
  <c r="R23" i="10" s="1"/>
  <c r="R10" i="10" l="1"/>
  <c r="R16" i="10" s="1"/>
  <c r="P14" i="9" l="1"/>
  <c r="AN92" i="10"/>
  <c r="AN91" i="10"/>
  <c r="AN90" i="10"/>
  <c r="AM90" i="10"/>
  <c r="AN89" i="10"/>
  <c r="AN88" i="10"/>
  <c r="AN87" i="10"/>
  <c r="AN86" i="10"/>
  <c r="P93" i="10"/>
  <c r="Q64" i="10"/>
  <c r="Q65" i="10"/>
  <c r="Q69" i="10"/>
  <c r="Q38" i="10"/>
  <c r="Q41" i="10"/>
  <c r="Q47" i="10"/>
  <c r="P51" i="10"/>
  <c r="P29" i="10"/>
  <c r="P25" i="10"/>
  <c r="P17" i="10"/>
  <c r="AO90" i="10" l="1"/>
  <c r="P44" i="10"/>
  <c r="P50" i="10" s="1"/>
  <c r="P79" i="10"/>
  <c r="P85" i="10" s="1"/>
  <c r="P19" i="10"/>
  <c r="P23" i="10"/>
  <c r="P34" i="10"/>
  <c r="O74" i="10"/>
  <c r="Q74" i="10" s="1"/>
  <c r="O72" i="10"/>
  <c r="Q72" i="10" s="1"/>
  <c r="O67" i="10"/>
  <c r="Q67" i="10" s="1"/>
  <c r="O66" i="10"/>
  <c r="Q66" i="10" s="1"/>
  <c r="O56" i="10"/>
  <c r="Q56" i="10" s="1"/>
  <c r="O43" i="10"/>
  <c r="Q43" i="10" s="1"/>
  <c r="O14" i="10"/>
  <c r="O11" i="10"/>
  <c r="O6" i="10"/>
  <c r="O10" i="10"/>
  <c r="G101" i="9"/>
  <c r="O61" i="10" s="1"/>
  <c r="Q61" i="10" s="1"/>
  <c r="F101" i="9"/>
  <c r="G92" i="9"/>
  <c r="O54" i="10" s="1"/>
  <c r="Q54" i="10" s="1"/>
  <c r="G63" i="9"/>
  <c r="G85" i="9"/>
  <c r="H85" i="9" s="1"/>
  <c r="G93" i="9"/>
  <c r="O55" i="10" s="1"/>
  <c r="Q55" i="10" s="1"/>
  <c r="F93" i="9"/>
  <c r="G139" i="9"/>
  <c r="O78" i="10" s="1"/>
  <c r="Q78" i="10" s="1"/>
  <c r="F139" i="9"/>
  <c r="O60" i="10"/>
  <c r="Q60" i="10" s="1"/>
  <c r="G105" i="9"/>
  <c r="O63" i="10" s="1"/>
  <c r="Q63" i="10" s="1"/>
  <c r="F105" i="9"/>
  <c r="G103" i="9"/>
  <c r="O62" i="10" s="1"/>
  <c r="Q62" i="10" s="1"/>
  <c r="F103" i="9"/>
  <c r="G113" i="9"/>
  <c r="O68" i="10" s="1"/>
  <c r="Q68" i="10" s="1"/>
  <c r="G99" i="9"/>
  <c r="O59" i="10" s="1"/>
  <c r="Q59" i="10" s="1"/>
  <c r="F99" i="9"/>
  <c r="G97" i="9"/>
  <c r="O57" i="10" s="1"/>
  <c r="Q57" i="10" s="1"/>
  <c r="F97" i="9"/>
  <c r="F92" i="9"/>
  <c r="G91" i="9"/>
  <c r="O53" i="10" s="1"/>
  <c r="Q53" i="10" s="1"/>
  <c r="F91" i="9"/>
  <c r="G89" i="9"/>
  <c r="O52" i="10" s="1"/>
  <c r="F89" i="9"/>
  <c r="G136" i="9"/>
  <c r="O76" i="10" s="1"/>
  <c r="Q76" i="10" s="1"/>
  <c r="F136" i="9"/>
  <c r="G142" i="9"/>
  <c r="O80" i="10" s="1"/>
  <c r="Q80" i="10" s="1"/>
  <c r="F142" i="9"/>
  <c r="G141" i="9"/>
  <c r="O79" i="10" s="1"/>
  <c r="Q79" i="10" s="1"/>
  <c r="F141" i="9"/>
  <c r="G134" i="9"/>
  <c r="O75" i="10" s="1"/>
  <c r="Q75" i="10" s="1"/>
  <c r="F134" i="9"/>
  <c r="G118" i="9"/>
  <c r="O71" i="10" s="1"/>
  <c r="Q71" i="10" s="1"/>
  <c r="F118" i="9"/>
  <c r="G115" i="9"/>
  <c r="O70" i="10" s="1"/>
  <c r="Q70" i="10" s="1"/>
  <c r="G145" i="9"/>
  <c r="O84" i="10" s="1"/>
  <c r="Q84" i="10" s="1"/>
  <c r="F145" i="9"/>
  <c r="G144" i="9"/>
  <c r="O82" i="10" s="1"/>
  <c r="Q82" i="10" s="1"/>
  <c r="F144" i="9"/>
  <c r="G137" i="9"/>
  <c r="O77" i="10" s="1"/>
  <c r="Q77" i="10" s="1"/>
  <c r="F137" i="9"/>
  <c r="G116" i="9"/>
  <c r="O42" i="10" s="1"/>
  <c r="Q42" i="10" s="1"/>
  <c r="G86" i="9"/>
  <c r="H86" i="9" s="1"/>
  <c r="G123" i="9"/>
  <c r="O46" i="10" s="1"/>
  <c r="Q46" i="10" s="1"/>
  <c r="F123" i="9"/>
  <c r="G96" i="9"/>
  <c r="O40" i="10" s="1"/>
  <c r="Q40" i="10" s="1"/>
  <c r="F96" i="9"/>
  <c r="G107" i="9"/>
  <c r="O44" i="10" s="1"/>
  <c r="Q44" i="10" s="1"/>
  <c r="F107" i="9"/>
  <c r="G121" i="9"/>
  <c r="O48" i="10" s="1"/>
  <c r="Q48" i="10" s="1"/>
  <c r="F121" i="9"/>
  <c r="G117" i="9"/>
  <c r="O45" i="10" s="1"/>
  <c r="Q45" i="10" s="1"/>
  <c r="F117" i="9"/>
  <c r="G88" i="9"/>
  <c r="O39" i="10" s="1"/>
  <c r="F88" i="9"/>
  <c r="C55" i="9"/>
  <c r="D55" i="9"/>
  <c r="E55" i="9"/>
  <c r="F55" i="9"/>
  <c r="H55" i="9"/>
  <c r="R31" i="10" s="1"/>
  <c r="G81" i="9"/>
  <c r="F81" i="9"/>
  <c r="G56" i="9"/>
  <c r="G55" i="9" s="1"/>
  <c r="O31" i="10" s="1"/>
  <c r="G79" i="9"/>
  <c r="F79" i="9"/>
  <c r="G74" i="9"/>
  <c r="F74" i="9"/>
  <c r="G65" i="9"/>
  <c r="G67" i="9"/>
  <c r="F67" i="9"/>
  <c r="G60" i="9"/>
  <c r="F60" i="9"/>
  <c r="G59" i="9"/>
  <c r="F59" i="9"/>
  <c r="G133" i="9"/>
  <c r="O92" i="10" s="1"/>
  <c r="G130" i="9"/>
  <c r="O89" i="10" s="1"/>
  <c r="AM89" i="10" s="1"/>
  <c r="AO89" i="10" s="1"/>
  <c r="G129" i="9"/>
  <c r="O88" i="10" s="1"/>
  <c r="AM88" i="10" s="1"/>
  <c r="AO88" i="10" s="1"/>
  <c r="G128" i="9"/>
  <c r="O87" i="10" s="1"/>
  <c r="G138" i="9"/>
  <c r="O49" i="10" s="1"/>
  <c r="Q49" i="10" s="1"/>
  <c r="G50" i="9"/>
  <c r="O26" i="10" s="1"/>
  <c r="F50" i="9"/>
  <c r="G146" i="9"/>
  <c r="O83" i="10" s="1"/>
  <c r="Q83" i="10" s="1"/>
  <c r="G120" i="9"/>
  <c r="O73" i="10" s="1"/>
  <c r="Q73" i="10" s="1"/>
  <c r="F63" i="9"/>
  <c r="G22" i="9"/>
  <c r="F22" i="9"/>
  <c r="G41" i="9"/>
  <c r="G45" i="9"/>
  <c r="G26" i="9"/>
  <c r="F26" i="9"/>
  <c r="G46" i="9"/>
  <c r="F46" i="9"/>
  <c r="G24" i="9"/>
  <c r="G23" i="9"/>
  <c r="F23" i="9"/>
  <c r="G21" i="9"/>
  <c r="F21" i="9"/>
  <c r="Q39" i="10" l="1"/>
  <c r="Q52" i="10"/>
  <c r="G62" i="9"/>
  <c r="G174" i="9"/>
  <c r="G172" i="9"/>
  <c r="G171" i="9"/>
  <c r="M51" i="10" l="1"/>
  <c r="M29" i="10"/>
  <c r="M25" i="10"/>
  <c r="M17" i="10"/>
  <c r="L51" i="10"/>
  <c r="O51" i="10" s="1"/>
  <c r="L70" i="10"/>
  <c r="L68" i="10"/>
  <c r="L63" i="10"/>
  <c r="L37" i="10"/>
  <c r="O37" i="10" s="1"/>
  <c r="L29" i="10"/>
  <c r="L26" i="10"/>
  <c r="M79" i="10"/>
  <c r="M23" i="10"/>
  <c r="L77" i="10"/>
  <c r="L46" i="10"/>
  <c r="L40" i="10"/>
  <c r="L44" i="10"/>
  <c r="L48" i="10"/>
  <c r="L45" i="10"/>
  <c r="L39" i="10"/>
  <c r="F94" i="9"/>
  <c r="L56" i="10" s="1"/>
  <c r="F122" i="9"/>
  <c r="L74" i="10" s="1"/>
  <c r="L55" i="10"/>
  <c r="L78" i="10"/>
  <c r="L62" i="10"/>
  <c r="L61" i="10"/>
  <c r="L59" i="10"/>
  <c r="L57" i="10"/>
  <c r="L54" i="10"/>
  <c r="L53" i="10"/>
  <c r="L52" i="10"/>
  <c r="L76" i="10"/>
  <c r="L80" i="10"/>
  <c r="F119" i="9"/>
  <c r="L72" i="10" s="1"/>
  <c r="L79" i="10"/>
  <c r="L71" i="10"/>
  <c r="L75" i="10"/>
  <c r="L84" i="10"/>
  <c r="N84" i="10" s="1"/>
  <c r="L82" i="10"/>
  <c r="N82" i="10" s="1"/>
  <c r="F140" i="9"/>
  <c r="L83" i="10" s="1"/>
  <c r="N83" i="10" s="1"/>
  <c r="I25" i="10"/>
  <c r="L25" i="10" s="1"/>
  <c r="F43" i="9"/>
  <c r="L10" i="10"/>
  <c r="L6" i="10"/>
  <c r="AM6" i="10" s="1"/>
  <c r="L15" i="10"/>
  <c r="L14" i="10"/>
  <c r="L11" i="10"/>
  <c r="F15" i="9"/>
  <c r="M85" i="10" l="1"/>
  <c r="R37" i="10"/>
  <c r="U37" i="10" s="1"/>
  <c r="X37" i="10" s="1"/>
  <c r="O50" i="10"/>
  <c r="R51" i="10"/>
  <c r="F38" i="9"/>
  <c r="L23" i="10" s="1"/>
  <c r="R50" i="10" l="1"/>
  <c r="U51" i="10"/>
  <c r="X51" i="10" s="1"/>
  <c r="T51" i="10"/>
  <c r="K83" i="10" l="1"/>
  <c r="G19" i="10"/>
  <c r="I92" i="10"/>
  <c r="E147" i="9" l="1"/>
  <c r="D117" i="9"/>
  <c r="O14" i="9"/>
  <c r="O13" i="9" l="1"/>
  <c r="O12" i="9"/>
  <c r="O8" i="9"/>
  <c r="O6" i="9"/>
  <c r="O9" i="9"/>
  <c r="O7" i="9"/>
  <c r="O10" i="9"/>
  <c r="O11" i="9"/>
  <c r="G34" i="10" l="1"/>
  <c r="G23" i="10"/>
  <c r="H83" i="10"/>
  <c r="G25" i="10"/>
  <c r="G17" i="10"/>
  <c r="D137" i="9"/>
  <c r="D87" i="9"/>
  <c r="D93" i="9"/>
  <c r="D109" i="9"/>
  <c r="D105" i="9"/>
  <c r="D101" i="9"/>
  <c r="D103" i="9"/>
  <c r="D91" i="9"/>
  <c r="D89" i="9"/>
  <c r="D136" i="9"/>
  <c r="D142" i="9"/>
  <c r="D141" i="9"/>
  <c r="D134" i="9"/>
  <c r="D123" i="9"/>
  <c r="D107" i="9"/>
  <c r="D121" i="9"/>
  <c r="D88" i="9"/>
  <c r="D63" i="9"/>
  <c r="D81" i="9"/>
  <c r="D79" i="9"/>
  <c r="D74" i="9"/>
  <c r="D60" i="9"/>
  <c r="D59" i="9"/>
  <c r="D50" i="9"/>
  <c r="D43" i="9"/>
  <c r="D98" i="9" l="1"/>
  <c r="D159" i="9"/>
  <c r="AM83" i="10" l="1"/>
  <c r="AO83" i="10" s="1"/>
  <c r="AP83" i="10" s="1"/>
  <c r="AM79" i="10"/>
  <c r="AM78" i="10"/>
  <c r="AM77" i="10"/>
  <c r="AM73" i="10"/>
  <c r="AM72" i="10"/>
  <c r="AM70" i="10"/>
  <c r="AM69" i="10"/>
  <c r="AM65" i="10"/>
  <c r="AM64" i="10"/>
  <c r="AM57" i="10"/>
  <c r="AM54" i="10"/>
  <c r="AM48" i="10"/>
  <c r="AM47" i="10"/>
  <c r="AM26" i="10"/>
  <c r="B49" i="10" l="1"/>
  <c r="AM63" i="10"/>
  <c r="AM62" i="10"/>
  <c r="AM61" i="10"/>
  <c r="AM55" i="10"/>
  <c r="C49" i="10"/>
  <c r="C50" i="10" s="1"/>
  <c r="AM44" i="10"/>
  <c r="B152" i="9"/>
  <c r="B153" i="9"/>
  <c r="C63" i="9"/>
  <c r="C81" i="9"/>
  <c r="B38" i="9"/>
  <c r="B81" i="9" l="1"/>
  <c r="B120" i="9"/>
  <c r="C16" i="9" l="1"/>
  <c r="AL73" i="10" l="1"/>
  <c r="AL74" i="10"/>
  <c r="AL78" i="10"/>
  <c r="AL49" i="10"/>
  <c r="AL48" i="10"/>
  <c r="AL47" i="10"/>
  <c r="AL44" i="10"/>
  <c r="AL43" i="10"/>
  <c r="AL42" i="10"/>
  <c r="AL41" i="10"/>
  <c r="B156" i="9"/>
  <c r="O169" i="9"/>
  <c r="AL72" i="10"/>
  <c r="N58" i="9"/>
  <c r="AJ32" i="10" s="1"/>
  <c r="AL13" i="10" l="1"/>
  <c r="AL14" i="10"/>
  <c r="AL15" i="10"/>
  <c r="AK16" i="10"/>
  <c r="AV15" i="10" l="1"/>
  <c r="AV19" i="10" s="1"/>
  <c r="AI92" i="10" l="1"/>
  <c r="AI91" i="10"/>
  <c r="AI90" i="10"/>
  <c r="AI89" i="10"/>
  <c r="AI88" i="10"/>
  <c r="AI87" i="10"/>
  <c r="AI86" i="10"/>
  <c r="AI72" i="10"/>
  <c r="AI69" i="10"/>
  <c r="AI66" i="10"/>
  <c r="AI47" i="10"/>
  <c r="AI42" i="10"/>
  <c r="AI13" i="10"/>
  <c r="AI14" i="10"/>
  <c r="AH93" i="10"/>
  <c r="AV21" i="10"/>
  <c r="AI73" i="10" l="1"/>
  <c r="AI68" i="10"/>
  <c r="AI67" i="10"/>
  <c r="AI65" i="10"/>
  <c r="AI62" i="10"/>
  <c r="AI54" i="10"/>
  <c r="AI43" i="10"/>
  <c r="AI41" i="10"/>
  <c r="AI40" i="10"/>
  <c r="AF92" i="10" l="1"/>
  <c r="AF91" i="10"/>
  <c r="AF90" i="10"/>
  <c r="AF89" i="10"/>
  <c r="AF88" i="10"/>
  <c r="AF87" i="10"/>
  <c r="AF86" i="10"/>
  <c r="AF78" i="10"/>
  <c r="AF69" i="10"/>
  <c r="AF68" i="10"/>
  <c r="AF60" i="10"/>
  <c r="AF47" i="10"/>
  <c r="AF43" i="10"/>
  <c r="AF42" i="10"/>
  <c r="T14" i="10"/>
  <c r="AF13" i="10"/>
  <c r="AF10" i="10"/>
  <c r="AF9" i="10" l="1"/>
  <c r="AF14" i="10"/>
  <c r="AF8" i="10"/>
  <c r="AF7" i="10"/>
  <c r="AF12" i="10"/>
  <c r="AF11" i="10"/>
  <c r="AU22" i="10"/>
  <c r="AF67" i="10"/>
  <c r="AF65" i="10"/>
  <c r="AF62" i="10"/>
  <c r="AF41" i="10"/>
  <c r="AF40" i="10"/>
  <c r="O131" i="9"/>
  <c r="O109" i="9"/>
  <c r="O75" i="9"/>
  <c r="O44" i="9"/>
  <c r="O39" i="9"/>
  <c r="H34" i="9"/>
  <c r="O20" i="9"/>
  <c r="D152" i="9"/>
  <c r="E152" i="9"/>
  <c r="F152" i="9"/>
  <c r="L152" i="9"/>
  <c r="C152" i="9"/>
  <c r="AF59" i="10" l="1"/>
  <c r="AE16" i="10"/>
  <c r="AF61" i="10"/>
  <c r="AF49" i="10" l="1"/>
  <c r="AF38" i="10"/>
  <c r="O56" i="9"/>
  <c r="AF70" i="10"/>
  <c r="AF54" i="10"/>
  <c r="AF57" i="10"/>
  <c r="AF66" i="10"/>
  <c r="AV20" i="10"/>
  <c r="AV22" i="10"/>
  <c r="AV23" i="10"/>
  <c r="AV24" i="10"/>
  <c r="AC73" i="10"/>
  <c r="AC15" i="10"/>
  <c r="AC47" i="10"/>
  <c r="AC42" i="10"/>
  <c r="AC74" i="10"/>
  <c r="AC78" i="10"/>
  <c r="AC14" i="10"/>
  <c r="AC41" i="10"/>
  <c r="AC8" i="10"/>
  <c r="AC9" i="10"/>
  <c r="AC10" i="10"/>
  <c r="AC11" i="10"/>
  <c r="AC12" i="10"/>
  <c r="AC13" i="10"/>
  <c r="AC7" i="10"/>
  <c r="U43" i="10"/>
  <c r="K113" i="9"/>
  <c r="AA68" i="10" s="1"/>
  <c r="AM68" i="10" s="1"/>
  <c r="AC40" i="10"/>
  <c r="AC45" i="10"/>
  <c r="U66" i="10"/>
  <c r="AM59" i="10"/>
  <c r="AC80" i="10"/>
  <c r="AC79" i="10"/>
  <c r="AC75" i="10"/>
  <c r="AC71" i="10"/>
  <c r="AC82" i="10"/>
  <c r="U50" i="10" l="1"/>
  <c r="X43" i="10"/>
  <c r="X50" i="10" s="1"/>
  <c r="AF73" i="10"/>
  <c r="AC43" i="10"/>
  <c r="O104" i="9"/>
  <c r="AC48" i="10"/>
  <c r="AC70" i="10"/>
  <c r="O40" i="9"/>
  <c r="AA39" i="10"/>
  <c r="AC72" i="10"/>
  <c r="O127" i="9"/>
  <c r="AC76" i="10"/>
  <c r="O133" i="9"/>
  <c r="O32" i="9"/>
  <c r="K62" i="9"/>
  <c r="AA33" i="10" s="1"/>
  <c r="AC46" i="10"/>
  <c r="AC44" i="10"/>
  <c r="AB16" i="10"/>
  <c r="AM92" i="10" l="1"/>
  <c r="AO92" i="10" s="1"/>
  <c r="AP92" i="10" s="1"/>
  <c r="AC49" i="10"/>
  <c r="AC38" i="10"/>
  <c r="AC39" i="10"/>
  <c r="AC84" i="10"/>
  <c r="Z47" i="10" l="1"/>
  <c r="Z42" i="10"/>
  <c r="Z44" i="10" l="1"/>
  <c r="Z80" i="10" l="1"/>
  <c r="Z79" i="10"/>
  <c r="Z78" i="10"/>
  <c r="Z76" i="10"/>
  <c r="Z73" i="10"/>
  <c r="Z72" i="10"/>
  <c r="Z70" i="10"/>
  <c r="Z49" i="10"/>
  <c r="Z48" i="10"/>
  <c r="Z46" i="10"/>
  <c r="Z45" i="10"/>
  <c r="Z43" i="10"/>
  <c r="Z41" i="10"/>
  <c r="Z40" i="10"/>
  <c r="Z37" i="10"/>
  <c r="Y27" i="10"/>
  <c r="Z13" i="10"/>
  <c r="Z14" i="10"/>
  <c r="Z71" i="10" l="1"/>
  <c r="Z75" i="10"/>
  <c r="Z74" i="10"/>
  <c r="Z38" i="10"/>
  <c r="Y16" i="10"/>
  <c r="V93" i="10"/>
  <c r="W13" i="10"/>
  <c r="W14" i="10"/>
  <c r="W73" i="10"/>
  <c r="W74" i="10"/>
  <c r="W47" i="10"/>
  <c r="W43" i="10"/>
  <c r="W42" i="10"/>
  <c r="W41" i="10"/>
  <c r="W39" i="10"/>
  <c r="W38" i="10"/>
  <c r="O135" i="9"/>
  <c r="O110" i="9"/>
  <c r="O69" i="9"/>
  <c r="O25" i="9"/>
  <c r="W15" i="10"/>
  <c r="W72" i="10" l="1"/>
  <c r="W77" i="10"/>
  <c r="W48" i="10"/>
  <c r="W49" i="10"/>
  <c r="W80" i="10"/>
  <c r="W40" i="10"/>
  <c r="W46" i="10"/>
  <c r="W76" i="10"/>
  <c r="O100" i="9"/>
  <c r="I34" i="9"/>
  <c r="O35" i="9"/>
  <c r="O97" i="9"/>
  <c r="O99" i="9"/>
  <c r="O92" i="9"/>
  <c r="O113" i="9"/>
  <c r="O103" i="9"/>
  <c r="W79" i="10"/>
  <c r="V16" i="10"/>
  <c r="W78" i="10" l="1"/>
  <c r="W45" i="10"/>
  <c r="W44" i="10"/>
  <c r="O34" i="9"/>
  <c r="AL12" i="10"/>
  <c r="AI12" i="10"/>
  <c r="Z12" i="10"/>
  <c r="AL11" i="10"/>
  <c r="AI11" i="10"/>
  <c r="Z11" i="10"/>
  <c r="AL10" i="10"/>
  <c r="AI10" i="10"/>
  <c r="Z10" i="10"/>
  <c r="AL9" i="10"/>
  <c r="Z9" i="10"/>
  <c r="AL8" i="10"/>
  <c r="AI8" i="10"/>
  <c r="Z8" i="10"/>
  <c r="AL7" i="10"/>
  <c r="Z7" i="10"/>
  <c r="Z6" i="10"/>
  <c r="W10" i="10"/>
  <c r="W9" i="10"/>
  <c r="W8" i="10"/>
  <c r="B15" i="9" l="1"/>
  <c r="B170" i="9" s="1"/>
  <c r="S93" i="10" l="1"/>
  <c r="S94" i="10" s="1"/>
  <c r="T47" i="10"/>
  <c r="T42" i="10"/>
  <c r="T39" i="10"/>
  <c r="T38" i="10"/>
  <c r="E30" i="10"/>
  <c r="T37" i="10"/>
  <c r="T41" i="10"/>
  <c r="T43" i="10"/>
  <c r="Q22" i="10"/>
  <c r="Q21" i="10"/>
  <c r="N22" i="10"/>
  <c r="N21" i="10"/>
  <c r="T48" i="10" l="1"/>
  <c r="T40" i="10"/>
  <c r="T49" i="10"/>
  <c r="O80" i="9"/>
  <c r="O66" i="9"/>
  <c r="H7" i="10" l="1"/>
  <c r="H8" i="10"/>
  <c r="H9" i="10"/>
  <c r="H10" i="10"/>
  <c r="H11" i="10"/>
  <c r="H12" i="10"/>
  <c r="H13" i="10"/>
  <c r="H14" i="10"/>
  <c r="N14" i="10"/>
  <c r="Q15" i="10"/>
  <c r="M16" i="10"/>
  <c r="O86" i="10" l="1"/>
  <c r="AM86" i="10" s="1"/>
  <c r="AO86" i="10" s="1"/>
  <c r="O93" i="10" l="1"/>
  <c r="O21" i="9"/>
  <c r="O31" i="9"/>
  <c r="P24" i="10" l="1"/>
  <c r="P36" i="10"/>
  <c r="Q26" i="10" l="1"/>
  <c r="N48" i="10" l="1"/>
  <c r="N46" i="10"/>
  <c r="N45" i="10"/>
  <c r="N44" i="10"/>
  <c r="N74" i="10"/>
  <c r="N75" i="10"/>
  <c r="L87" i="10" l="1"/>
  <c r="AM87" i="10" s="1"/>
  <c r="AO87" i="10" s="1"/>
  <c r="N78" i="10"/>
  <c r="N73" i="10"/>
  <c r="L67" i="10"/>
  <c r="AM67" i="10" s="1"/>
  <c r="L66" i="10"/>
  <c r="L43" i="10"/>
  <c r="N43" i="10" s="1"/>
  <c r="L42" i="10"/>
  <c r="N41" i="10"/>
  <c r="N40" i="10"/>
  <c r="N13" i="10"/>
  <c r="F65" i="9"/>
  <c r="F64" i="9"/>
  <c r="N42" i="10" l="1"/>
  <c r="AM66" i="10"/>
  <c r="O60" i="9"/>
  <c r="O65" i="9"/>
  <c r="J27" i="10" l="1"/>
  <c r="K13" i="10"/>
  <c r="K14" i="10"/>
  <c r="J16" i="10"/>
  <c r="M126" i="9" l="1"/>
  <c r="M102" i="9"/>
  <c r="O102" i="9" s="1"/>
  <c r="N74" i="9"/>
  <c r="M74" i="9"/>
  <c r="O68" i="9"/>
  <c r="B58" i="9"/>
  <c r="N72" i="10"/>
  <c r="E26" i="9"/>
  <c r="K78" i="10"/>
  <c r="K75" i="10"/>
  <c r="AM40" i="10"/>
  <c r="K15" i="10"/>
  <c r="AM13" i="10"/>
  <c r="AN15" i="10"/>
  <c r="AM14" i="10"/>
  <c r="E13" i="10"/>
  <c r="E14" i="10"/>
  <c r="E15" i="10"/>
  <c r="O74" i="9" l="1"/>
  <c r="K42" i="10"/>
  <c r="AM42" i="10"/>
  <c r="K43" i="10"/>
  <c r="AM43" i="10"/>
  <c r="K41" i="10"/>
  <c r="AM41" i="10"/>
  <c r="K40" i="10"/>
  <c r="K72" i="10"/>
  <c r="K73" i="10"/>
  <c r="AF72" i="10"/>
  <c r="O119" i="9"/>
  <c r="B18" i="9"/>
  <c r="B62" i="9"/>
  <c r="AN12" i="10"/>
  <c r="AN9" i="10"/>
  <c r="AN8" i="10"/>
  <c r="AN7" i="10"/>
  <c r="H84" i="10" l="1"/>
  <c r="H82" i="10"/>
  <c r="H81" i="10"/>
  <c r="H80" i="10"/>
  <c r="H79" i="10"/>
  <c r="H78" i="10"/>
  <c r="H77" i="10"/>
  <c r="H76" i="10"/>
  <c r="H75" i="10"/>
  <c r="H74" i="10"/>
  <c r="H73" i="10"/>
  <c r="H72" i="10"/>
  <c r="H71" i="10"/>
  <c r="AN38" i="10"/>
  <c r="AN41" i="10"/>
  <c r="AN42" i="10"/>
  <c r="AN43" i="10"/>
  <c r="AN44" i="10"/>
  <c r="AN45" i="10"/>
  <c r="AN46" i="10"/>
  <c r="AN47" i="10"/>
  <c r="AN48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50" i="10" l="1"/>
  <c r="AO43" i="10"/>
  <c r="AO42" i="10"/>
  <c r="AP43" i="10" l="1"/>
  <c r="AP42" i="10"/>
  <c r="A38" i="10"/>
  <c r="F27" i="10" l="1"/>
  <c r="F93" i="10"/>
  <c r="AN49" i="10"/>
  <c r="AN82" i="10" l="1"/>
  <c r="AN81" i="10"/>
  <c r="AN80" i="10"/>
  <c r="AN79" i="10"/>
  <c r="AN78" i="10"/>
  <c r="AN77" i="10"/>
  <c r="AN76" i="10"/>
  <c r="AN75" i="10"/>
  <c r="AN74" i="10"/>
  <c r="AN73" i="10"/>
  <c r="AN72" i="10"/>
  <c r="AN71" i="10"/>
  <c r="AN70" i="10"/>
  <c r="AH16" i="10" l="1"/>
  <c r="AG16" i="10"/>
  <c r="AD16" i="10"/>
  <c r="X16" i="10"/>
  <c r="U16" i="10"/>
  <c r="G16" i="10"/>
  <c r="C16" i="10"/>
  <c r="B16" i="10"/>
  <c r="D16" i="10"/>
  <c r="E11" i="10"/>
  <c r="E12" i="10"/>
  <c r="E43" i="10"/>
  <c r="E38" i="10"/>
  <c r="V85" i="10"/>
  <c r="Y85" i="10"/>
  <c r="AB85" i="10"/>
  <c r="AE85" i="10"/>
  <c r="AH85" i="10"/>
  <c r="AK85" i="10"/>
  <c r="D93" i="10"/>
  <c r="G93" i="10"/>
  <c r="I93" i="10"/>
  <c r="J93" i="10"/>
  <c r="M93" i="10"/>
  <c r="X93" i="10"/>
  <c r="Y93" i="10"/>
  <c r="AB93" i="10"/>
  <c r="AE93" i="10"/>
  <c r="AG93" i="10"/>
  <c r="AJ93" i="10"/>
  <c r="AK93" i="10"/>
  <c r="V50" i="10"/>
  <c r="Y50" i="10"/>
  <c r="AB50" i="10"/>
  <c r="AE50" i="10"/>
  <c r="AH50" i="10"/>
  <c r="E59" i="10"/>
  <c r="E60" i="10"/>
  <c r="E61" i="10"/>
  <c r="E62" i="10"/>
  <c r="E65" i="10"/>
  <c r="E68" i="10"/>
  <c r="E69" i="10"/>
  <c r="E70" i="10"/>
  <c r="E72" i="10"/>
  <c r="E73" i="10"/>
  <c r="E74" i="10"/>
  <c r="E75" i="10"/>
  <c r="E42" i="10"/>
  <c r="E47" i="10"/>
  <c r="A41" i="10"/>
  <c r="A40" i="10"/>
  <c r="A43" i="10"/>
  <c r="A44" i="10"/>
  <c r="A45" i="10"/>
  <c r="A46" i="10"/>
  <c r="A47" i="10"/>
  <c r="A48" i="10"/>
  <c r="A49" i="10"/>
  <c r="A39" i="10"/>
  <c r="H60" i="10"/>
  <c r="K60" i="10"/>
  <c r="N60" i="10"/>
  <c r="AM60" i="10"/>
  <c r="AC60" i="10"/>
  <c r="AI60" i="10"/>
  <c r="AL60" i="10"/>
  <c r="AN60" i="10"/>
  <c r="H68" i="10"/>
  <c r="K68" i="10"/>
  <c r="N68" i="10"/>
  <c r="W68" i="10"/>
  <c r="Z68" i="10"/>
  <c r="AC68" i="10"/>
  <c r="AL68" i="10"/>
  <c r="AN68" i="10"/>
  <c r="A92" i="10"/>
  <c r="A86" i="10"/>
  <c r="A87" i="10"/>
  <c r="A88" i="10"/>
  <c r="A89" i="10"/>
  <c r="A90" i="10"/>
  <c r="O114" i="9"/>
  <c r="O101" i="9"/>
  <c r="O120" i="9"/>
  <c r="O124" i="9"/>
  <c r="K79" i="10"/>
  <c r="O132" i="9"/>
  <c r="O125" i="9"/>
  <c r="O126" i="9"/>
  <c r="O128" i="9"/>
  <c r="O129" i="9"/>
  <c r="O130" i="9"/>
  <c r="N47" i="10"/>
  <c r="C58" i="9"/>
  <c r="D58" i="9"/>
  <c r="E58" i="9"/>
  <c r="F58" i="9"/>
  <c r="L32" i="10" s="1"/>
  <c r="G58" i="9"/>
  <c r="O32" i="10" s="1"/>
  <c r="H58" i="9"/>
  <c r="I58" i="9"/>
  <c r="U32" i="10" s="1"/>
  <c r="J58" i="9"/>
  <c r="X32" i="10" s="1"/>
  <c r="K58" i="9"/>
  <c r="AA32" i="10" s="1"/>
  <c r="L58" i="9"/>
  <c r="AD32" i="10" s="1"/>
  <c r="M58" i="9"/>
  <c r="AG32" i="10" s="1"/>
  <c r="I55" i="9"/>
  <c r="U31" i="10" s="1"/>
  <c r="J55" i="9"/>
  <c r="K55" i="9"/>
  <c r="L55" i="9"/>
  <c r="AD31" i="10" s="1"/>
  <c r="AM31" i="10" s="1"/>
  <c r="M55" i="9"/>
  <c r="AG31" i="10" s="1"/>
  <c r="N55" i="9"/>
  <c r="AJ31" i="10" s="1"/>
  <c r="O79" i="9"/>
  <c r="O78" i="9"/>
  <c r="O77" i="9"/>
  <c r="O70" i="9"/>
  <c r="O72" i="9"/>
  <c r="R32" i="10" l="1"/>
  <c r="AM32" i="10" s="1"/>
  <c r="AM15" i="10"/>
  <c r="AO15" i="10" s="1"/>
  <c r="AP15" i="10" s="1"/>
  <c r="H15" i="10"/>
  <c r="F16" i="10"/>
  <c r="Z60" i="10"/>
  <c r="AO60" i="10"/>
  <c r="AP60" i="10" s="1"/>
  <c r="W75" i="10"/>
  <c r="AB94" i="10"/>
  <c r="K47" i="10"/>
  <c r="AO47" i="10"/>
  <c r="P94" i="10"/>
  <c r="AE94" i="10"/>
  <c r="AH94" i="10"/>
  <c r="AN84" i="10"/>
  <c r="D94" i="10"/>
  <c r="E84" i="10"/>
  <c r="V94" i="10"/>
  <c r="E46" i="10"/>
  <c r="E79" i="10"/>
  <c r="E57" i="10"/>
  <c r="J94" i="10"/>
  <c r="AO68" i="10"/>
  <c r="AP68" i="10" s="1"/>
  <c r="Y94" i="10"/>
  <c r="E56" i="10"/>
  <c r="C93" i="10"/>
  <c r="E78" i="10"/>
  <c r="E67" i="10"/>
  <c r="E66" i="10"/>
  <c r="E54" i="10"/>
  <c r="AO73" i="10"/>
  <c r="E40" i="10"/>
  <c r="AO72" i="10"/>
  <c r="E41" i="10"/>
  <c r="O55" i="9"/>
  <c r="O67" i="9"/>
  <c r="L64" i="9"/>
  <c r="O59" i="9"/>
  <c r="O50" i="9"/>
  <c r="AP47" i="10" l="1"/>
  <c r="M64" i="9"/>
  <c r="O58" i="9"/>
  <c r="K46" i="10"/>
  <c r="F53" i="9"/>
  <c r="G53" i="9" s="1"/>
  <c r="O29" i="10" s="1"/>
  <c r="AP73" i="10"/>
  <c r="AP72" i="10"/>
  <c r="O64" i="9" l="1"/>
  <c r="M62" i="9"/>
  <c r="AF75" i="10"/>
  <c r="N134" i="9"/>
  <c r="Q29" i="10"/>
  <c r="H53" i="9"/>
  <c r="R29" i="10" s="1"/>
  <c r="K84" i="10"/>
  <c r="N79" i="10"/>
  <c r="C18" i="9"/>
  <c r="D26" i="9"/>
  <c r="D18" i="9" s="1"/>
  <c r="K41" i="9"/>
  <c r="D41" i="9"/>
  <c r="O27" i="9"/>
  <c r="O33" i="9"/>
  <c r="O36" i="9"/>
  <c r="O37" i="9"/>
  <c r="O22" i="9"/>
  <c r="O23" i="9"/>
  <c r="D16" i="9"/>
  <c r="E16" i="9" s="1"/>
  <c r="K7" i="10"/>
  <c r="N7" i="10"/>
  <c r="Q7" i="10"/>
  <c r="K8" i="10"/>
  <c r="N8" i="10"/>
  <c r="Q8" i="10"/>
  <c r="T8" i="10"/>
  <c r="K9" i="10"/>
  <c r="N9" i="10"/>
  <c r="Q9" i="10"/>
  <c r="K10" i="10"/>
  <c r="N10" i="10"/>
  <c r="K11" i="10"/>
  <c r="N11" i="10"/>
  <c r="K12" i="10"/>
  <c r="N12" i="10"/>
  <c r="Q12" i="10"/>
  <c r="O134" i="9" l="1"/>
  <c r="AJ75" i="10"/>
  <c r="AI75" i="10"/>
  <c r="I53" i="9"/>
  <c r="U29" i="10" s="1"/>
  <c r="U84" i="10"/>
  <c r="X84" i="10" s="1"/>
  <c r="O16" i="10"/>
  <c r="F16" i="9"/>
  <c r="L17" i="10" s="1"/>
  <c r="L16" i="10"/>
  <c r="I16" i="10"/>
  <c r="E9" i="10"/>
  <c r="AM9" i="10"/>
  <c r="AM10" i="10"/>
  <c r="E10" i="10"/>
  <c r="E8" i="10"/>
  <c r="AM8" i="10"/>
  <c r="E7" i="10"/>
  <c r="AM7" i="10"/>
  <c r="AM11" i="10"/>
  <c r="K15" i="9"/>
  <c r="L15" i="9"/>
  <c r="J15" i="9"/>
  <c r="H15" i="9"/>
  <c r="I15" i="9"/>
  <c r="G15" i="9"/>
  <c r="E15" i="9"/>
  <c r="N15" i="9"/>
  <c r="M15" i="9"/>
  <c r="AM75" i="10" l="1"/>
  <c r="AO75" i="10" s="1"/>
  <c r="AL75" i="10"/>
  <c r="W84" i="10"/>
  <c r="J53" i="9"/>
  <c r="X29" i="10" s="1"/>
  <c r="AO8" i="10"/>
  <c r="AP8" i="10" s="1"/>
  <c r="AP75" i="10"/>
  <c r="O26" i="9"/>
  <c r="T46" i="10"/>
  <c r="G16" i="9"/>
  <c r="H16" i="9" l="1"/>
  <c r="R17" i="10" s="1"/>
  <c r="O17" i="10"/>
  <c r="Z84" i="10"/>
  <c r="K53" i="9"/>
  <c r="AA29" i="10" s="1"/>
  <c r="AF46" i="10"/>
  <c r="AI79" i="10"/>
  <c r="N123" i="9"/>
  <c r="AJ46" i="10" s="1"/>
  <c r="AM46" i="10" s="1"/>
  <c r="AI46" i="10"/>
  <c r="AF79" i="10"/>
  <c r="O41" i="9"/>
  <c r="I16" i="9"/>
  <c r="U17" i="10" s="1"/>
  <c r="Q17" i="10" l="1"/>
  <c r="L53" i="9"/>
  <c r="AD29" i="10" s="1"/>
  <c r="AF84" i="10"/>
  <c r="O141" i="9"/>
  <c r="AL79" i="10"/>
  <c r="O123" i="9"/>
  <c r="AL46" i="10"/>
  <c r="J16" i="9"/>
  <c r="X17" i="10" s="1"/>
  <c r="K16" i="9" l="1"/>
  <c r="AA17" i="10" s="1"/>
  <c r="AI84" i="10"/>
  <c r="N145" i="9"/>
  <c r="AJ84" i="10" s="1"/>
  <c r="AM84" i="10" s="1"/>
  <c r="AO84" i="10" s="1"/>
  <c r="AP84" i="10" s="1"/>
  <c r="M53" i="9"/>
  <c r="AG29" i="10" s="1"/>
  <c r="AO79" i="10"/>
  <c r="AP79" i="10" s="1"/>
  <c r="N53" i="9" l="1"/>
  <c r="AJ29" i="10" s="1"/>
  <c r="O145" i="9"/>
  <c r="AL84" i="10"/>
  <c r="L16" i="9"/>
  <c r="AD17" i="10" s="1"/>
  <c r="AO46" i="10"/>
  <c r="AP46" i="10" s="1"/>
  <c r="O63" i="9"/>
  <c r="M16" i="9" l="1"/>
  <c r="N16" i="9" l="1"/>
  <c r="AJ17" i="10" s="1"/>
  <c r="AG17" i="10"/>
  <c r="AM17" i="10" s="1"/>
  <c r="C76" i="9"/>
  <c r="C42" i="9"/>
  <c r="C30" i="9"/>
  <c r="E18" i="9"/>
  <c r="A12" i="9"/>
  <c r="A11" i="9"/>
  <c r="C38" i="9" l="1"/>
  <c r="B76" i="9"/>
  <c r="C29" i="9"/>
  <c r="B55" i="9"/>
  <c r="D30" i="9"/>
  <c r="E30" i="9" s="1"/>
  <c r="I30" i="9" s="1"/>
  <c r="J30" i="9" s="1"/>
  <c r="K30" i="9" s="1"/>
  <c r="L30" i="9" s="1"/>
  <c r="M30" i="9" s="1"/>
  <c r="N30" i="9" s="1"/>
  <c r="AP90" i="10"/>
  <c r="AN69" i="10"/>
  <c r="AN67" i="10"/>
  <c r="AO67" i="10" s="1"/>
  <c r="AN65" i="10"/>
  <c r="AO65" i="10" s="1"/>
  <c r="AN63" i="10"/>
  <c r="AN62" i="10"/>
  <c r="AO62" i="10" s="1"/>
  <c r="AN59" i="10"/>
  <c r="AO59" i="10" s="1"/>
  <c r="AP59" i="10" s="1"/>
  <c r="AN58" i="10"/>
  <c r="AN55" i="10"/>
  <c r="AN53" i="10"/>
  <c r="AN52" i="10"/>
  <c r="AN35" i="10"/>
  <c r="AN21" i="10"/>
  <c r="O30" i="9" l="1"/>
  <c r="C28" i="9"/>
  <c r="C48" i="9" s="1"/>
  <c r="AP67" i="10"/>
  <c r="AP65" i="10"/>
  <c r="AP89" i="10"/>
  <c r="AP62" i="10"/>
  <c r="B93" i="10"/>
  <c r="C62" i="9"/>
  <c r="D76" i="9"/>
  <c r="O19" i="9"/>
  <c r="E38" i="9"/>
  <c r="F18" i="9"/>
  <c r="L19" i="10" s="1"/>
  <c r="B48" i="9"/>
  <c r="D29" i="9"/>
  <c r="AL32" i="10"/>
  <c r="G43" i="9" l="1"/>
  <c r="D38" i="9"/>
  <c r="N43" i="9"/>
  <c r="K71" i="10"/>
  <c r="K82" i="10"/>
  <c r="K77" i="10"/>
  <c r="K81" i="10"/>
  <c r="K80" i="10"/>
  <c r="K76" i="10"/>
  <c r="T45" i="10"/>
  <c r="K39" i="10"/>
  <c r="E52" i="10"/>
  <c r="AL69" i="10"/>
  <c r="E49" i="10"/>
  <c r="E81" i="10"/>
  <c r="E76" i="10"/>
  <c r="E44" i="10"/>
  <c r="E64" i="10"/>
  <c r="E82" i="10"/>
  <c r="C84" i="9"/>
  <c r="E63" i="10"/>
  <c r="E80" i="10"/>
  <c r="E71" i="10"/>
  <c r="E45" i="10"/>
  <c r="E58" i="10"/>
  <c r="E77" i="10"/>
  <c r="E48" i="10"/>
  <c r="E55" i="10"/>
  <c r="E53" i="10"/>
  <c r="E39" i="10"/>
  <c r="E76" i="9"/>
  <c r="D62" i="9"/>
  <c r="H18" i="9"/>
  <c r="R19" i="10" s="1"/>
  <c r="R24" i="10" s="1"/>
  <c r="G18" i="9"/>
  <c r="E29" i="9"/>
  <c r="D28" i="9"/>
  <c r="G38" i="9" l="1"/>
  <c r="O23" i="10" s="1"/>
  <c r="O19" i="10"/>
  <c r="Q19" i="10" s="1"/>
  <c r="AV25" i="10"/>
  <c r="AV26" i="10" s="1"/>
  <c r="F36" i="10"/>
  <c r="F24" i="10"/>
  <c r="F28" i="10" s="1"/>
  <c r="O71" i="9"/>
  <c r="N39" i="10"/>
  <c r="K44" i="10"/>
  <c r="L49" i="10"/>
  <c r="L50" i="10" s="1"/>
  <c r="L108" i="9"/>
  <c r="N71" i="10"/>
  <c r="N77" i="10"/>
  <c r="N76" i="10"/>
  <c r="K48" i="10"/>
  <c r="K45" i="10"/>
  <c r="K49" i="10"/>
  <c r="E62" i="9"/>
  <c r="F76" i="9"/>
  <c r="L34" i="10" s="1"/>
  <c r="E28" i="9"/>
  <c r="E48" i="9" s="1"/>
  <c r="I18" i="9"/>
  <c r="U19" i="10" s="1"/>
  <c r="D48" i="9"/>
  <c r="AH27" i="10"/>
  <c r="N49" i="10" l="1"/>
  <c r="AM49" i="10"/>
  <c r="AO49" i="10" s="1"/>
  <c r="AP49" i="10" s="1"/>
  <c r="O43" i="9"/>
  <c r="AF48" i="10"/>
  <c r="AI49" i="10"/>
  <c r="O121" i="9"/>
  <c r="M108" i="9"/>
  <c r="O138" i="9"/>
  <c r="T44" i="10"/>
  <c r="T50" i="10" s="1"/>
  <c r="U82" i="10"/>
  <c r="X82" i="10" s="1"/>
  <c r="N80" i="10"/>
  <c r="G76" i="9"/>
  <c r="O34" i="10" s="1"/>
  <c r="F62" i="9"/>
  <c r="L33" i="10" s="1"/>
  <c r="J18" i="9"/>
  <c r="X19" i="10" s="1"/>
  <c r="X24" i="10" s="1"/>
  <c r="F28" i="9"/>
  <c r="AE27" i="10"/>
  <c r="AE36" i="10"/>
  <c r="W82" i="10" l="1"/>
  <c r="Z39" i="10"/>
  <c r="Z50" i="10" s="1"/>
  <c r="AF55" i="10"/>
  <c r="Q23" i="10"/>
  <c r="AF44" i="10"/>
  <c r="AF45" i="10"/>
  <c r="AF64" i="10"/>
  <c r="AO48" i="10"/>
  <c r="AI48" i="10"/>
  <c r="O107" i="9"/>
  <c r="O88" i="9"/>
  <c r="AI39" i="10"/>
  <c r="N117" i="9"/>
  <c r="AI45" i="10"/>
  <c r="N108" i="9"/>
  <c r="AF39" i="10"/>
  <c r="F48" i="9"/>
  <c r="O33" i="10"/>
  <c r="I81" i="9"/>
  <c r="H76" i="9"/>
  <c r="R34" i="10" s="1"/>
  <c r="I42" i="9"/>
  <c r="I38" i="9" s="1"/>
  <c r="G28" i="9"/>
  <c r="K18" i="9"/>
  <c r="AA19" i="10" s="1"/>
  <c r="O117" i="9" l="1"/>
  <c r="AJ45" i="10"/>
  <c r="U23" i="10"/>
  <c r="U24" i="10" s="1"/>
  <c r="AM39" i="10"/>
  <c r="Z82" i="10"/>
  <c r="Z77" i="10"/>
  <c r="O93" i="9"/>
  <c r="AF76" i="10"/>
  <c r="O108" i="9"/>
  <c r="AF80" i="10"/>
  <c r="AO44" i="10"/>
  <c r="AI44" i="10"/>
  <c r="AI64" i="10"/>
  <c r="AP48" i="10"/>
  <c r="N136" i="9"/>
  <c r="N142" i="9"/>
  <c r="N91" i="9"/>
  <c r="AJ53" i="10" s="1"/>
  <c r="AM53" i="10" s="1"/>
  <c r="N89" i="9"/>
  <c r="AJ52" i="10" s="1"/>
  <c r="AM52" i="10" s="1"/>
  <c r="AF53" i="10"/>
  <c r="AF63" i="10"/>
  <c r="AF52" i="10"/>
  <c r="W71" i="10"/>
  <c r="G48" i="9"/>
  <c r="H62" i="9"/>
  <c r="R33" i="10" s="1"/>
  <c r="I76" i="9"/>
  <c r="U34" i="10" s="1"/>
  <c r="I29" i="9"/>
  <c r="H28" i="9"/>
  <c r="L18" i="9"/>
  <c r="AL80" i="10" l="1"/>
  <c r="AJ80" i="10"/>
  <c r="AM80" i="10" s="1"/>
  <c r="AJ76" i="10"/>
  <c r="AM76" i="10" s="1"/>
  <c r="AM45" i="10"/>
  <c r="AO45" i="10" s="1"/>
  <c r="AL45" i="10"/>
  <c r="AD19" i="10"/>
  <c r="I28" i="9"/>
  <c r="I48" i="9" s="1"/>
  <c r="AF82" i="10"/>
  <c r="AO80" i="10"/>
  <c r="AO55" i="10"/>
  <c r="AP55" i="10" s="1"/>
  <c r="AF71" i="10"/>
  <c r="O89" i="9"/>
  <c r="AP45" i="10"/>
  <c r="AP44" i="10"/>
  <c r="AI80" i="10"/>
  <c r="AO76" i="10"/>
  <c r="AI76" i="10"/>
  <c r="N118" i="9"/>
  <c r="AI71" i="10"/>
  <c r="H48" i="9"/>
  <c r="O24" i="10"/>
  <c r="Q20" i="10"/>
  <c r="I62" i="9"/>
  <c r="U33" i="10" s="1"/>
  <c r="U36" i="10" s="1"/>
  <c r="M18" i="9"/>
  <c r="AG19" i="10" s="1"/>
  <c r="K42" i="9"/>
  <c r="J29" i="9"/>
  <c r="AJ71" i="10" l="1"/>
  <c r="AM71" i="10" s="1"/>
  <c r="AL76" i="10"/>
  <c r="K38" i="9"/>
  <c r="AA23" i="10" s="1"/>
  <c r="N144" i="9"/>
  <c r="AO53" i="10"/>
  <c r="AP53" i="10" s="1"/>
  <c r="AP76" i="10"/>
  <c r="AI63" i="10"/>
  <c r="AP80" i="10"/>
  <c r="O24" i="9"/>
  <c r="K76" i="9"/>
  <c r="AA34" i="10" s="1"/>
  <c r="J62" i="9"/>
  <c r="K29" i="9"/>
  <c r="K28" i="9" s="1"/>
  <c r="J28" i="9"/>
  <c r="AJ82" i="10" l="1"/>
  <c r="AM82" i="10" s="1"/>
  <c r="AO82" i="10" s="1"/>
  <c r="AP82" i="10" s="1"/>
  <c r="AL71" i="10"/>
  <c r="J84" i="9"/>
  <c r="X33" i="10"/>
  <c r="K48" i="9"/>
  <c r="AI82" i="10"/>
  <c r="AO63" i="10"/>
  <c r="AP63" i="10" s="1"/>
  <c r="AO71" i="10"/>
  <c r="AP71" i="10" s="1"/>
  <c r="AO52" i="10"/>
  <c r="AP52" i="10" s="1"/>
  <c r="J48" i="9"/>
  <c r="L76" i="9"/>
  <c r="AD34" i="10" s="1"/>
  <c r="L29" i="9"/>
  <c r="AL82" i="10" l="1"/>
  <c r="AC69" i="10"/>
  <c r="N81" i="9"/>
  <c r="N76" i="9" s="1"/>
  <c r="AJ34" i="10" s="1"/>
  <c r="M76" i="9"/>
  <c r="AG34" i="10" s="1"/>
  <c r="AM34" i="10" s="1"/>
  <c r="L62" i="9"/>
  <c r="AD33" i="10" s="1"/>
  <c r="M29" i="9"/>
  <c r="L28" i="9"/>
  <c r="L48" i="9" s="1"/>
  <c r="N42" i="9"/>
  <c r="N38" i="9" s="1"/>
  <c r="AJ23" i="10" s="1"/>
  <c r="AM23" i="10" s="1"/>
  <c r="AB24" i="10"/>
  <c r="AB27" i="10"/>
  <c r="AB36" i="10"/>
  <c r="O42" i="9" l="1"/>
  <c r="O38" i="9"/>
  <c r="O81" i="9"/>
  <c r="N29" i="9"/>
  <c r="O29" i="9" s="1"/>
  <c r="M28" i="9"/>
  <c r="AB28" i="10"/>
  <c r="AB95" i="10" s="1"/>
  <c r="AG33" i="10" l="1"/>
  <c r="AB96" i="10"/>
  <c r="O76" i="9"/>
  <c r="N62" i="9"/>
  <c r="AJ33" i="10" s="1"/>
  <c r="M48" i="9"/>
  <c r="N28" i="9"/>
  <c r="N18" i="9" s="1"/>
  <c r="AJ19" i="10" l="1"/>
  <c r="AM19" i="10" s="1"/>
  <c r="O18" i="9"/>
  <c r="AM33" i="10"/>
  <c r="AI33" i="10"/>
  <c r="N48" i="9"/>
  <c r="AM20" i="10"/>
  <c r="O28" i="9"/>
  <c r="N84" i="9"/>
  <c r="O62" i="9"/>
  <c r="Z69" i="10" l="1"/>
  <c r="Y36" i="10"/>
  <c r="Y24" i="10"/>
  <c r="I84" i="9" l="1"/>
  <c r="Y28" i="10"/>
  <c r="Y95" i="10" s="1"/>
  <c r="W69" i="10"/>
  <c r="W11" i="10"/>
  <c r="Y96" i="10" l="1"/>
  <c r="V36" i="10"/>
  <c r="V24" i="10"/>
  <c r="V27" i="10"/>
  <c r="V28" i="10" l="1"/>
  <c r="V95" i="10" l="1"/>
  <c r="AI99" i="14"/>
  <c r="AI95" i="14"/>
  <c r="AK94" i="14"/>
  <c r="AI92" i="14"/>
  <c r="AI91" i="14"/>
  <c r="AI100" i="14" s="1"/>
  <c r="Z87" i="14"/>
  <c r="Y87" i="14"/>
  <c r="X87" i="14"/>
  <c r="W87" i="14"/>
  <c r="V87" i="14"/>
  <c r="U87" i="14"/>
  <c r="S87" i="14"/>
  <c r="D87" i="14"/>
  <c r="C87" i="14"/>
  <c r="B87" i="14"/>
  <c r="AB86" i="14"/>
  <c r="E86" i="14"/>
  <c r="AB85" i="14"/>
  <c r="E85" i="14"/>
  <c r="AB84" i="14"/>
  <c r="I84" i="14"/>
  <c r="F84" i="14"/>
  <c r="H84" i="14" s="1"/>
  <c r="E84" i="14"/>
  <c r="AB83" i="14"/>
  <c r="E83" i="14"/>
  <c r="AB82" i="14"/>
  <c r="R82" i="14"/>
  <c r="T82" i="14" s="1"/>
  <c r="O82" i="14"/>
  <c r="Q82" i="14" s="1"/>
  <c r="L82" i="14"/>
  <c r="N82" i="14" s="1"/>
  <c r="I82" i="14"/>
  <c r="K82" i="14" s="1"/>
  <c r="F82" i="14"/>
  <c r="E82" i="14"/>
  <c r="AB81" i="14"/>
  <c r="E81" i="14"/>
  <c r="AB80" i="14"/>
  <c r="E80" i="14"/>
  <c r="AB79" i="14"/>
  <c r="E79" i="14"/>
  <c r="M78" i="14"/>
  <c r="AB78" i="14" s="1"/>
  <c r="E78" i="14"/>
  <c r="P77" i="14"/>
  <c r="M77" i="14"/>
  <c r="J77" i="14"/>
  <c r="E77" i="14"/>
  <c r="J76" i="14"/>
  <c r="AB76" i="14" s="1"/>
  <c r="E76" i="14"/>
  <c r="AB75" i="14"/>
  <c r="E75" i="14"/>
  <c r="AB74" i="14"/>
  <c r="E74" i="14"/>
  <c r="J73" i="14"/>
  <c r="AB73" i="14" s="1"/>
  <c r="E73" i="14"/>
  <c r="M72" i="14"/>
  <c r="J72" i="14"/>
  <c r="E72" i="14"/>
  <c r="AB71" i="14"/>
  <c r="E71" i="14"/>
  <c r="AB70" i="14"/>
  <c r="E70" i="14"/>
  <c r="AB69" i="14"/>
  <c r="E69" i="14"/>
  <c r="M68" i="14"/>
  <c r="J68" i="14"/>
  <c r="E68" i="14"/>
  <c r="P67" i="14"/>
  <c r="M67" i="14"/>
  <c r="J67" i="14"/>
  <c r="E67" i="14"/>
  <c r="AB66" i="14"/>
  <c r="E66" i="14"/>
  <c r="AB65" i="14"/>
  <c r="E65" i="14"/>
  <c r="AB64" i="14"/>
  <c r="E64" i="14"/>
  <c r="AB63" i="14"/>
  <c r="R63" i="14"/>
  <c r="T63" i="14" s="1"/>
  <c r="O63" i="14"/>
  <c r="Q63" i="14" s="1"/>
  <c r="L63" i="14"/>
  <c r="N63" i="14" s="1"/>
  <c r="I63" i="14"/>
  <c r="K63" i="14" s="1"/>
  <c r="F63" i="14"/>
  <c r="H63" i="14" s="1"/>
  <c r="E63" i="14"/>
  <c r="AB62" i="14"/>
  <c r="R62" i="14"/>
  <c r="T62" i="14" s="1"/>
  <c r="O62" i="14"/>
  <c r="Q62" i="14" s="1"/>
  <c r="L62" i="14"/>
  <c r="N62" i="14" s="1"/>
  <c r="I62" i="14"/>
  <c r="K62" i="14" s="1"/>
  <c r="F62" i="14"/>
  <c r="H62" i="14" s="1"/>
  <c r="E62" i="14"/>
  <c r="M61" i="14"/>
  <c r="J61" i="14"/>
  <c r="E61" i="14"/>
  <c r="AB60" i="14"/>
  <c r="R60" i="14"/>
  <c r="T60" i="14" s="1"/>
  <c r="O60" i="14"/>
  <c r="Q60" i="14" s="1"/>
  <c r="L60" i="14"/>
  <c r="N60" i="14" s="1"/>
  <c r="I60" i="14"/>
  <c r="K60" i="14" s="1"/>
  <c r="F60" i="14"/>
  <c r="E60" i="14"/>
  <c r="AB59" i="14"/>
  <c r="R59" i="14"/>
  <c r="T59" i="14" s="1"/>
  <c r="O59" i="14"/>
  <c r="Q59" i="14" s="1"/>
  <c r="L59" i="14"/>
  <c r="N59" i="14" s="1"/>
  <c r="I59" i="14"/>
  <c r="K59" i="14" s="1"/>
  <c r="F59" i="14"/>
  <c r="H59" i="14" s="1"/>
  <c r="E59" i="14"/>
  <c r="AB58" i="14"/>
  <c r="E58" i="14"/>
  <c r="J57" i="14"/>
  <c r="AB57" i="14" s="1"/>
  <c r="E57" i="14"/>
  <c r="AB56" i="14"/>
  <c r="E56" i="14"/>
  <c r="M55" i="14"/>
  <c r="AB55" i="14" s="1"/>
  <c r="E55" i="14"/>
  <c r="AB54" i="14"/>
  <c r="E54" i="14"/>
  <c r="AB53" i="14"/>
  <c r="E53" i="14"/>
  <c r="P52" i="14"/>
  <c r="AB52" i="14" s="1"/>
  <c r="E52" i="14"/>
  <c r="AB51" i="14"/>
  <c r="R51" i="14"/>
  <c r="T51" i="14" s="1"/>
  <c r="O51" i="14"/>
  <c r="Q51" i="14" s="1"/>
  <c r="L51" i="14"/>
  <c r="N51" i="14" s="1"/>
  <c r="I51" i="14"/>
  <c r="K51" i="14" s="1"/>
  <c r="F51" i="14"/>
  <c r="H51" i="14" s="1"/>
  <c r="E51" i="14"/>
  <c r="AF50" i="14"/>
  <c r="AE50" i="14"/>
  <c r="AB50" i="14"/>
  <c r="E50" i="14"/>
  <c r="AB49" i="14"/>
  <c r="E49" i="14"/>
  <c r="M48" i="14"/>
  <c r="J48" i="14"/>
  <c r="E48" i="14"/>
  <c r="P47" i="14"/>
  <c r="E47" i="14"/>
  <c r="M46" i="14"/>
  <c r="AB46" i="14" s="1"/>
  <c r="E46" i="14"/>
  <c r="AB45" i="14"/>
  <c r="E45" i="14"/>
  <c r="M44" i="14"/>
  <c r="AB44" i="14" s="1"/>
  <c r="E44" i="14"/>
  <c r="M43" i="14"/>
  <c r="J43" i="14"/>
  <c r="E43" i="14"/>
  <c r="AB42" i="14"/>
  <c r="E42" i="14"/>
  <c r="M41" i="14"/>
  <c r="J41" i="14"/>
  <c r="E41" i="14"/>
  <c r="AB40" i="14"/>
  <c r="E40" i="14"/>
  <c r="AB39" i="14"/>
  <c r="E39" i="14"/>
  <c r="M38" i="14"/>
  <c r="J38" i="14"/>
  <c r="E38" i="14"/>
  <c r="AB37" i="14"/>
  <c r="E37" i="14"/>
  <c r="M36" i="14"/>
  <c r="J36" i="14"/>
  <c r="J35" i="14" s="1"/>
  <c r="G36" i="14"/>
  <c r="E36" i="14"/>
  <c r="M35" i="14"/>
  <c r="G35" i="14"/>
  <c r="E35" i="14"/>
  <c r="AF34" i="14"/>
  <c r="Z34" i="14"/>
  <c r="Y34" i="14"/>
  <c r="X34" i="14"/>
  <c r="W34" i="14"/>
  <c r="V34" i="14"/>
  <c r="U34" i="14"/>
  <c r="D34" i="14"/>
  <c r="AB33" i="14"/>
  <c r="T33" i="14"/>
  <c r="E33" i="14"/>
  <c r="B33" i="14"/>
  <c r="AB32" i="14"/>
  <c r="T32" i="14"/>
  <c r="E32" i="14"/>
  <c r="B32" i="14"/>
  <c r="AB31" i="14"/>
  <c r="E31" i="14"/>
  <c r="B31" i="14"/>
  <c r="S30" i="14"/>
  <c r="P30" i="14"/>
  <c r="G30" i="14"/>
  <c r="E30" i="14"/>
  <c r="B30" i="14"/>
  <c r="S29" i="14"/>
  <c r="P29" i="14"/>
  <c r="G29" i="14"/>
  <c r="E29" i="14"/>
  <c r="B29" i="14"/>
  <c r="S28" i="14"/>
  <c r="P28" i="14"/>
  <c r="G28" i="14"/>
  <c r="E28" i="14"/>
  <c r="B28" i="14"/>
  <c r="B34" i="14" s="1"/>
  <c r="S27" i="14"/>
  <c r="S34" i="14" s="1"/>
  <c r="P27" i="14"/>
  <c r="C27" i="14"/>
  <c r="C34" i="14" s="1"/>
  <c r="E26" i="14"/>
  <c r="P25" i="14"/>
  <c r="M25" i="14"/>
  <c r="J25" i="14"/>
  <c r="G25" i="14"/>
  <c r="E25" i="14"/>
  <c r="Z23" i="14"/>
  <c r="Y23" i="14"/>
  <c r="X23" i="14"/>
  <c r="X24" i="14" s="1"/>
  <c r="W23" i="14"/>
  <c r="W24" i="14" s="1"/>
  <c r="V23" i="14"/>
  <c r="U23" i="14"/>
  <c r="S23" i="14"/>
  <c r="D23" i="14"/>
  <c r="C23" i="14"/>
  <c r="B23" i="14"/>
  <c r="E22" i="14"/>
  <c r="P21" i="14"/>
  <c r="P23" i="14" s="1"/>
  <c r="M21" i="14"/>
  <c r="M23" i="14" s="1"/>
  <c r="J21" i="14"/>
  <c r="G21" i="14"/>
  <c r="E21" i="14"/>
  <c r="E23" i="14" s="1"/>
  <c r="Z20" i="14"/>
  <c r="Y20" i="14"/>
  <c r="X20" i="14"/>
  <c r="W20" i="14"/>
  <c r="V20" i="14"/>
  <c r="U20" i="14"/>
  <c r="U24" i="14" s="1"/>
  <c r="D20" i="14"/>
  <c r="C20" i="14"/>
  <c r="S19" i="14"/>
  <c r="P19" i="14"/>
  <c r="G19" i="14"/>
  <c r="E19" i="14"/>
  <c r="B19" i="14"/>
  <c r="S18" i="14"/>
  <c r="P18" i="14"/>
  <c r="M18" i="14"/>
  <c r="E18" i="14"/>
  <c r="B18" i="14"/>
  <c r="AB17" i="14"/>
  <c r="E17" i="14"/>
  <c r="B17" i="14"/>
  <c r="S16" i="14"/>
  <c r="P16" i="14"/>
  <c r="G16" i="14"/>
  <c r="E16" i="14"/>
  <c r="B16" i="14"/>
  <c r="S15" i="14"/>
  <c r="S20" i="14" s="1"/>
  <c r="P15" i="14"/>
  <c r="E15" i="14"/>
  <c r="B15" i="14"/>
  <c r="M14" i="14"/>
  <c r="AB14" i="14" s="1"/>
  <c r="E14" i="14"/>
  <c r="P13" i="14"/>
  <c r="M13" i="14"/>
  <c r="J13" i="14"/>
  <c r="G13" i="14"/>
  <c r="G20" i="14" s="1"/>
  <c r="E13" i="14"/>
  <c r="E20" i="14" s="1"/>
  <c r="Z12" i="14"/>
  <c r="Y12" i="14"/>
  <c r="X12" i="14"/>
  <c r="W12" i="14"/>
  <c r="V12" i="14"/>
  <c r="U12" i="14"/>
  <c r="S12" i="14"/>
  <c r="G12" i="14"/>
  <c r="F12" i="14"/>
  <c r="D12" i="14"/>
  <c r="C12" i="14"/>
  <c r="B12" i="14"/>
  <c r="AB11" i="14"/>
  <c r="H11" i="14"/>
  <c r="E11" i="14"/>
  <c r="R10" i="14"/>
  <c r="T10" i="14" s="1"/>
  <c r="O10" i="14"/>
  <c r="Q10" i="14" s="1"/>
  <c r="L10" i="14"/>
  <c r="N10" i="14" s="1"/>
  <c r="J10" i="14"/>
  <c r="I10" i="14"/>
  <c r="H10" i="14"/>
  <c r="E10" i="14"/>
  <c r="P9" i="14"/>
  <c r="M9" i="14"/>
  <c r="J9" i="14"/>
  <c r="H9" i="14"/>
  <c r="E9" i="14"/>
  <c r="P8" i="14"/>
  <c r="AB8" i="14" s="1"/>
  <c r="H8" i="14"/>
  <c r="E8" i="14"/>
  <c r="P7" i="14"/>
  <c r="M7" i="14"/>
  <c r="H7" i="14"/>
  <c r="E7" i="14"/>
  <c r="P6" i="14"/>
  <c r="M6" i="14"/>
  <c r="H6" i="14"/>
  <c r="E6" i="14"/>
  <c r="E12" i="14" s="1"/>
  <c r="B20" i="14" l="1"/>
  <c r="Y24" i="14"/>
  <c r="D24" i="14"/>
  <c r="V24" i="14"/>
  <c r="E27" i="14"/>
  <c r="E34" i="14" s="1"/>
  <c r="G87" i="14"/>
  <c r="X88" i="14"/>
  <c r="V96" i="10"/>
  <c r="AA10" i="14"/>
  <c r="H12" i="14"/>
  <c r="M12" i="14"/>
  <c r="P34" i="14"/>
  <c r="AB6" i="14"/>
  <c r="AB9" i="14"/>
  <c r="AB36" i="14"/>
  <c r="AA82" i="14"/>
  <c r="AC82" i="14" s="1"/>
  <c r="AD82" i="14" s="1"/>
  <c r="K84" i="14"/>
  <c r="K10" i="14"/>
  <c r="AB61" i="14"/>
  <c r="AB38" i="14"/>
  <c r="AB43" i="14"/>
  <c r="AB68" i="14"/>
  <c r="AB77" i="14"/>
  <c r="AB41" i="14"/>
  <c r="AB67" i="14"/>
  <c r="AB25" i="14"/>
  <c r="J87" i="14"/>
  <c r="AB13" i="14"/>
  <c r="AB10" i="14"/>
  <c r="G34" i="14"/>
  <c r="AB72" i="14"/>
  <c r="AB48" i="14"/>
  <c r="M87" i="14"/>
  <c r="U88" i="14"/>
  <c r="X89" i="14"/>
  <c r="J12" i="14"/>
  <c r="E24" i="14"/>
  <c r="U89" i="14"/>
  <c r="D88" i="14"/>
  <c r="AB7" i="14"/>
  <c r="Z24" i="14"/>
  <c r="H60" i="14"/>
  <c r="AA60" i="14"/>
  <c r="AC60" i="14" s="1"/>
  <c r="AD60" i="14" s="1"/>
  <c r="V88" i="14"/>
  <c r="V89" i="14" s="1"/>
  <c r="P20" i="14"/>
  <c r="P24" i="14" s="1"/>
  <c r="G23" i="14"/>
  <c r="G24" i="14" s="1"/>
  <c r="AB21" i="14"/>
  <c r="W88" i="14"/>
  <c r="AA51" i="14"/>
  <c r="AC51" i="14" s="1"/>
  <c r="AD51" i="14" s="1"/>
  <c r="AA59" i="14"/>
  <c r="AC59" i="14" s="1"/>
  <c r="AD59" i="14" s="1"/>
  <c r="Y88" i="14"/>
  <c r="Y89" i="14" s="1"/>
  <c r="P12" i="14"/>
  <c r="E87" i="14"/>
  <c r="P87" i="14"/>
  <c r="Z88" i="14"/>
  <c r="Z89" i="14" s="1"/>
  <c r="S24" i="14"/>
  <c r="S88" i="14" s="1"/>
  <c r="S89" i="14" s="1"/>
  <c r="AA62" i="14"/>
  <c r="AC62" i="14" s="1"/>
  <c r="AD62" i="14" s="1"/>
  <c r="D89" i="14"/>
  <c r="B24" i="14"/>
  <c r="B88" i="14" s="1"/>
  <c r="B89" i="14" s="1"/>
  <c r="W89" i="14"/>
  <c r="C24" i="14"/>
  <c r="C88" i="14" s="1"/>
  <c r="AA63" i="14"/>
  <c r="AC63" i="14" s="1"/>
  <c r="AD63" i="14" s="1"/>
  <c r="AB47" i="14"/>
  <c r="H82" i="14"/>
  <c r="AB35" i="14"/>
  <c r="T11" i="10"/>
  <c r="S36" i="10"/>
  <c r="S27" i="10"/>
  <c r="AN61" i="10"/>
  <c r="AO61" i="10" s="1"/>
  <c r="E88" i="14" l="1"/>
  <c r="E89" i="14" s="1"/>
  <c r="AC10" i="14"/>
  <c r="AD10" i="14" s="1"/>
  <c r="AP61" i="10"/>
  <c r="AB12" i="14"/>
  <c r="G88" i="14"/>
  <c r="G89" i="14" s="1"/>
  <c r="AB87" i="14"/>
  <c r="C89" i="14"/>
  <c r="P88" i="14"/>
  <c r="P89" i="14" l="1"/>
  <c r="AO9" i="10"/>
  <c r="AO7" i="10" l="1"/>
  <c r="AN18" i="10"/>
  <c r="AN64" i="10"/>
  <c r="AO64" i="10" s="1"/>
  <c r="AP64" i="10" s="1"/>
  <c r="AP7" i="10" l="1"/>
  <c r="AN30" i="10"/>
  <c r="M26" i="14"/>
  <c r="M27" i="14"/>
  <c r="M15" i="14"/>
  <c r="M19" i="14"/>
  <c r="M16" i="14"/>
  <c r="M29" i="14" l="1"/>
  <c r="M28" i="14"/>
  <c r="AB26" i="14"/>
  <c r="M20" i="14"/>
  <c r="M24" i="14" s="1"/>
  <c r="M30" i="14"/>
  <c r="N69" i="10"/>
  <c r="M27" i="10"/>
  <c r="M34" i="14" l="1"/>
  <c r="M88" i="14" s="1"/>
  <c r="M89" i="14" s="1"/>
  <c r="AN56" i="10"/>
  <c r="AN54" i="10"/>
  <c r="AO54" i="10" s="1"/>
  <c r="AP54" i="10" s="1"/>
  <c r="AN66" i="10"/>
  <c r="AO66" i="10" s="1"/>
  <c r="AN57" i="10"/>
  <c r="AO57" i="10" s="1"/>
  <c r="AP57" i="10" s="1"/>
  <c r="AP88" i="10" l="1"/>
  <c r="AP66" i="10"/>
  <c r="AN93" i="10"/>
  <c r="AN22" i="10"/>
  <c r="J18" i="14"/>
  <c r="AB18" i="14" s="1"/>
  <c r="AN26" i="10"/>
  <c r="J22" i="14"/>
  <c r="AP87" i="10" l="1"/>
  <c r="AN31" i="10"/>
  <c r="J27" i="14"/>
  <c r="J28" i="14"/>
  <c r="AB28" i="14" s="1"/>
  <c r="J29" i="14"/>
  <c r="AB29" i="14" s="1"/>
  <c r="J30" i="14"/>
  <c r="AB30" i="14" s="1"/>
  <c r="J19" i="14"/>
  <c r="AB19" i="14" s="1"/>
  <c r="J23" i="14"/>
  <c r="AB22" i="14"/>
  <c r="AB23" i="14" s="1"/>
  <c r="J16" i="14"/>
  <c r="AB16" i="14" s="1"/>
  <c r="AN19" i="10"/>
  <c r="AO19" i="10" s="1"/>
  <c r="J15" i="14"/>
  <c r="J20" i="14" l="1"/>
  <c r="J24" i="14" s="1"/>
  <c r="AB15" i="14"/>
  <c r="AB20" i="14" s="1"/>
  <c r="AB24" i="14" s="1"/>
  <c r="AB27" i="14"/>
  <c r="AB34" i="14" s="1"/>
  <c r="J34" i="14"/>
  <c r="K69" i="10"/>
  <c r="AO69" i="10" l="1"/>
  <c r="J88" i="14"/>
  <c r="J89" i="14" s="1"/>
  <c r="AB91" i="14" s="1"/>
  <c r="AB88" i="14"/>
  <c r="AB89" i="14" s="1"/>
  <c r="AN32" i="10"/>
  <c r="AN33" i="10"/>
  <c r="AN34" i="10"/>
  <c r="AN20" i="10"/>
  <c r="AO20" i="10" s="1"/>
  <c r="AN23" i="10"/>
  <c r="AP69" i="10" l="1"/>
  <c r="G36" i="10"/>
  <c r="G24" i="10"/>
  <c r="E92" i="10" l="1"/>
  <c r="E91" i="10"/>
  <c r="E90" i="10"/>
  <c r="E89" i="10"/>
  <c r="E88" i="10"/>
  <c r="E87" i="10"/>
  <c r="E86" i="10"/>
  <c r="H69" i="10"/>
  <c r="D36" i="10"/>
  <c r="E34" i="10"/>
  <c r="E33" i="10"/>
  <c r="E32" i="10"/>
  <c r="E29" i="10"/>
  <c r="D27" i="10"/>
  <c r="G27" i="10"/>
  <c r="E26" i="10"/>
  <c r="D24" i="10"/>
  <c r="C24" i="10"/>
  <c r="E23" i="10"/>
  <c r="E22" i="10"/>
  <c r="E21" i="10"/>
  <c r="E20" i="10"/>
  <c r="E19" i="10"/>
  <c r="E18" i="10"/>
  <c r="E17" i="10"/>
  <c r="H6" i="10"/>
  <c r="E6" i="10"/>
  <c r="AL20" i="10"/>
  <c r="AL87" i="10"/>
  <c r="AL56" i="10"/>
  <c r="O112" i="9"/>
  <c r="O111" i="9"/>
  <c r="AL92" i="10"/>
  <c r="AC92" i="10"/>
  <c r="Z92" i="10"/>
  <c r="W92" i="10"/>
  <c r="AL91" i="10"/>
  <c r="M122" i="9"/>
  <c r="AG74" i="10" s="1"/>
  <c r="L122" i="9"/>
  <c r="AD74" i="10" s="1"/>
  <c r="Z91" i="10"/>
  <c r="W91" i="10"/>
  <c r="AL90" i="10"/>
  <c r="AC90" i="10"/>
  <c r="Z90" i="10"/>
  <c r="W90" i="10"/>
  <c r="AL89" i="10"/>
  <c r="AC89" i="10"/>
  <c r="Z89" i="10"/>
  <c r="W89" i="10"/>
  <c r="N140" i="9"/>
  <c r="L140" i="9"/>
  <c r="K140" i="9"/>
  <c r="F86" i="14"/>
  <c r="F83" i="14"/>
  <c r="F74" i="14"/>
  <c r="F70" i="14"/>
  <c r="AC87" i="10"/>
  <c r="Z87" i="10"/>
  <c r="W87" i="10"/>
  <c r="AL86" i="10"/>
  <c r="AC86" i="10"/>
  <c r="Z86" i="10"/>
  <c r="W86" i="10"/>
  <c r="AL70" i="10"/>
  <c r="W70" i="10"/>
  <c r="AL67" i="10"/>
  <c r="AC67" i="10"/>
  <c r="Z67" i="10"/>
  <c r="W67" i="10"/>
  <c r="AL66" i="10"/>
  <c r="AC66" i="10"/>
  <c r="Z66" i="10"/>
  <c r="W66" i="10"/>
  <c r="AL64" i="10"/>
  <c r="AC64" i="10"/>
  <c r="Z64" i="10"/>
  <c r="W64" i="10"/>
  <c r="AL63" i="10"/>
  <c r="AC63" i="10"/>
  <c r="Z63" i="10"/>
  <c r="W63" i="10"/>
  <c r="AL62" i="10"/>
  <c r="AC62" i="10"/>
  <c r="Z62" i="10"/>
  <c r="W62" i="10"/>
  <c r="AL61" i="10"/>
  <c r="AI61" i="10"/>
  <c r="AC61" i="10"/>
  <c r="Z61" i="10"/>
  <c r="W61" i="10"/>
  <c r="AL59" i="10"/>
  <c r="AI59" i="10"/>
  <c r="AC59" i="10"/>
  <c r="Z59" i="10"/>
  <c r="AL57" i="10"/>
  <c r="AI57" i="10"/>
  <c r="AC57" i="10"/>
  <c r="Z57" i="10"/>
  <c r="N95" i="9"/>
  <c r="M95" i="9"/>
  <c r="L95" i="9"/>
  <c r="J95" i="9"/>
  <c r="I95" i="9"/>
  <c r="AI56" i="10"/>
  <c r="L94" i="9"/>
  <c r="AD56" i="10" s="1"/>
  <c r="AC56" i="10"/>
  <c r="Z56" i="10"/>
  <c r="W56" i="10"/>
  <c r="AL55" i="10"/>
  <c r="AI55" i="10"/>
  <c r="AC55" i="10"/>
  <c r="Z55" i="10"/>
  <c r="W55" i="10"/>
  <c r="AL54" i="10"/>
  <c r="AC54" i="10"/>
  <c r="Z54" i="10"/>
  <c r="W54" i="10"/>
  <c r="N87" i="9"/>
  <c r="AJ38" i="10" s="1"/>
  <c r="M87" i="9"/>
  <c r="AC52" i="10"/>
  <c r="Z52" i="10"/>
  <c r="I87" i="9"/>
  <c r="F68" i="14"/>
  <c r="AL34" i="10"/>
  <c r="AI34" i="10"/>
  <c r="F84" i="9"/>
  <c r="E84" i="9"/>
  <c r="D84" i="9"/>
  <c r="AL33" i="10"/>
  <c r="AL30" i="10"/>
  <c r="AJ35" i="10"/>
  <c r="AL35" i="10" s="1"/>
  <c r="AI35" i="10"/>
  <c r="AF35" i="10"/>
  <c r="AA35" i="10"/>
  <c r="AC35" i="10" s="1"/>
  <c r="X35" i="10"/>
  <c r="Z35" i="10" s="1"/>
  <c r="W35" i="10"/>
  <c r="AF34" i="10"/>
  <c r="AC34" i="10"/>
  <c r="Z34" i="10"/>
  <c r="W34" i="10"/>
  <c r="AF33" i="10"/>
  <c r="AC33" i="10"/>
  <c r="Z33" i="10"/>
  <c r="W33" i="10"/>
  <c r="W32" i="10"/>
  <c r="H84" i="9"/>
  <c r="G84" i="9"/>
  <c r="AL31" i="10"/>
  <c r="AI31" i="10"/>
  <c r="AF31" i="10"/>
  <c r="AC31" i="10"/>
  <c r="Z31" i="10"/>
  <c r="W31" i="10"/>
  <c r="AI30" i="10"/>
  <c r="AF30" i="10"/>
  <c r="AC30" i="10"/>
  <c r="Z30" i="10"/>
  <c r="W30" i="10"/>
  <c r="C27" i="8"/>
  <c r="AL26" i="10"/>
  <c r="AI26" i="10"/>
  <c r="AC26" i="10"/>
  <c r="W26" i="10"/>
  <c r="AL23" i="10"/>
  <c r="AL19" i="10"/>
  <c r="Z19" i="10"/>
  <c r="W19" i="10"/>
  <c r="AI23" i="10"/>
  <c r="AF23" i="10"/>
  <c r="AC23" i="10"/>
  <c r="Z23" i="10"/>
  <c r="W23" i="10"/>
  <c r="AL22" i="10"/>
  <c r="AI22" i="10"/>
  <c r="AF22" i="10"/>
  <c r="AC22" i="10"/>
  <c r="Z22" i="10"/>
  <c r="W22" i="10"/>
  <c r="AL21" i="10"/>
  <c r="AI21" i="10"/>
  <c r="AF21" i="10"/>
  <c r="AC21" i="10"/>
  <c r="Z21" i="10"/>
  <c r="W21" i="10"/>
  <c r="AI20" i="10"/>
  <c r="AF20" i="10"/>
  <c r="AC20" i="10"/>
  <c r="Z20" i="10"/>
  <c r="W20" i="10"/>
  <c r="AI19" i="10"/>
  <c r="AF19" i="10"/>
  <c r="AL18" i="10"/>
  <c r="AI18" i="10"/>
  <c r="AF18" i="10"/>
  <c r="AC18" i="10"/>
  <c r="Z18" i="10"/>
  <c r="W18" i="10"/>
  <c r="AC17" i="10"/>
  <c r="AA16" i="10"/>
  <c r="W12" i="10"/>
  <c r="AI9" i="10"/>
  <c r="AI7" i="10"/>
  <c r="W7" i="10"/>
  <c r="AI6" i="10"/>
  <c r="W6" i="10"/>
  <c r="V154" i="9"/>
  <c r="B29" i="8"/>
  <c r="B16" i="8"/>
  <c r="B19" i="8"/>
  <c r="B15" i="8"/>
  <c r="B87" i="8"/>
  <c r="B30" i="8"/>
  <c r="B28" i="8"/>
  <c r="B31" i="8"/>
  <c r="B17" i="8"/>
  <c r="B18" i="8"/>
  <c r="AM74" i="10" l="1"/>
  <c r="AO74" i="10" s="1"/>
  <c r="AF74" i="10"/>
  <c r="AM56" i="10"/>
  <c r="AO56" i="10" s="1"/>
  <c r="AP56" i="10" s="1"/>
  <c r="AF56" i="10"/>
  <c r="AL52" i="10"/>
  <c r="AI74" i="10"/>
  <c r="AI70" i="10"/>
  <c r="AI52" i="10"/>
  <c r="AG38" i="10"/>
  <c r="AM38" i="10" s="1"/>
  <c r="O139" i="9"/>
  <c r="O115" i="9"/>
  <c r="W52" i="10"/>
  <c r="O87" i="9"/>
  <c r="AC91" i="10"/>
  <c r="O122" i="9"/>
  <c r="E16" i="10"/>
  <c r="N38" i="10"/>
  <c r="AI16" i="10"/>
  <c r="K38" i="10"/>
  <c r="K74" i="10"/>
  <c r="G28" i="10"/>
  <c r="W16" i="10"/>
  <c r="H16" i="10"/>
  <c r="E93" i="10"/>
  <c r="AM12" i="10"/>
  <c r="AM16" i="10" s="1"/>
  <c r="AA93" i="10"/>
  <c r="O105" i="9"/>
  <c r="F54" i="14"/>
  <c r="H54" i="14" s="1"/>
  <c r="O106" i="9"/>
  <c r="AF32" i="10"/>
  <c r="L84" i="9"/>
  <c r="AC32" i="10"/>
  <c r="K84" i="9"/>
  <c r="AI32" i="10"/>
  <c r="M84" i="9"/>
  <c r="Z32" i="10"/>
  <c r="AJ36" i="10"/>
  <c r="AJ24" i="10"/>
  <c r="AL6" i="10"/>
  <c r="AL16" i="10" s="1"/>
  <c r="AR16" i="10" s="1"/>
  <c r="AG24" i="10"/>
  <c r="E31" i="10"/>
  <c r="E36" i="10" s="1"/>
  <c r="AF6" i="10"/>
  <c r="AF16" i="10" s="1"/>
  <c r="Z29" i="10"/>
  <c r="Z26" i="10"/>
  <c r="AF26" i="10"/>
  <c r="AD24" i="10"/>
  <c r="AA24" i="10"/>
  <c r="AC29" i="10"/>
  <c r="AC6" i="10"/>
  <c r="Z17" i="10"/>
  <c r="Z24" i="10" s="1"/>
  <c r="Z16" i="10"/>
  <c r="W17" i="10"/>
  <c r="W24" i="10" s="1"/>
  <c r="W29" i="10"/>
  <c r="W36" i="10" s="1"/>
  <c r="F56" i="14"/>
  <c r="H68" i="14"/>
  <c r="F40" i="14"/>
  <c r="L7" i="14"/>
  <c r="N7" i="14" s="1"/>
  <c r="T9" i="10"/>
  <c r="R8" i="14"/>
  <c r="T8" i="14" s="1"/>
  <c r="L13" i="14"/>
  <c r="N31" i="10"/>
  <c r="L27" i="14"/>
  <c r="N27" i="14" s="1"/>
  <c r="N34" i="10"/>
  <c r="L30" i="14"/>
  <c r="N30" i="14" s="1"/>
  <c r="F41" i="14"/>
  <c r="K56" i="10"/>
  <c r="I43" i="14"/>
  <c r="K43" i="14" s="1"/>
  <c r="R45" i="14"/>
  <c r="T45" i="14" s="1"/>
  <c r="N63" i="10"/>
  <c r="L54" i="14"/>
  <c r="N54" i="14" s="1"/>
  <c r="R55" i="14"/>
  <c r="T55" i="14" s="1"/>
  <c r="F66" i="14"/>
  <c r="K67" i="10"/>
  <c r="I58" i="14"/>
  <c r="K58" i="14" s="1"/>
  <c r="O61" i="14"/>
  <c r="Q61" i="14" s="1"/>
  <c r="H70" i="14"/>
  <c r="H83" i="14"/>
  <c r="I79" i="14"/>
  <c r="K79" i="14" s="1"/>
  <c r="O80" i="14"/>
  <c r="Q80" i="14" s="1"/>
  <c r="K89" i="10"/>
  <c r="I69" i="14"/>
  <c r="Q90" i="10"/>
  <c r="O70" i="14"/>
  <c r="Q70" i="14" s="1"/>
  <c r="I75" i="14"/>
  <c r="K75" i="14" s="1"/>
  <c r="R76" i="14"/>
  <c r="T76" i="14" s="1"/>
  <c r="F19" i="14"/>
  <c r="O13" i="14"/>
  <c r="N23" i="10"/>
  <c r="L19" i="14"/>
  <c r="N19" i="14" s="1"/>
  <c r="F27" i="14"/>
  <c r="O27" i="14"/>
  <c r="Q27" i="14" s="1"/>
  <c r="Q34" i="10"/>
  <c r="O30" i="14"/>
  <c r="Q30" i="14" s="1"/>
  <c r="F42" i="14"/>
  <c r="N56" i="10"/>
  <c r="L43" i="14"/>
  <c r="N43" i="14" s="1"/>
  <c r="F49" i="14"/>
  <c r="K62" i="10"/>
  <c r="I53" i="14"/>
  <c r="K53" i="14" s="1"/>
  <c r="O54" i="14"/>
  <c r="Q54" i="14" s="1"/>
  <c r="F67" i="14"/>
  <c r="N67" i="10"/>
  <c r="L58" i="14"/>
  <c r="N58" i="14" s="1"/>
  <c r="R61" i="14"/>
  <c r="T61" i="14" s="1"/>
  <c r="F71" i="14"/>
  <c r="F85" i="14"/>
  <c r="L79" i="14"/>
  <c r="N79" i="14" s="1"/>
  <c r="R80" i="14"/>
  <c r="T80" i="14" s="1"/>
  <c r="N89" i="10"/>
  <c r="L69" i="14"/>
  <c r="N69" i="14" s="1"/>
  <c r="T90" i="10"/>
  <c r="R70" i="14"/>
  <c r="T70" i="14" s="1"/>
  <c r="L75" i="14"/>
  <c r="N75" i="14" s="1"/>
  <c r="T7" i="10"/>
  <c r="R7" i="14"/>
  <c r="T7" i="14" s="1"/>
  <c r="R13" i="14"/>
  <c r="T13" i="14" s="1"/>
  <c r="O19" i="14"/>
  <c r="Q19" i="14" s="1"/>
  <c r="F18" i="14"/>
  <c r="F31" i="14"/>
  <c r="K30" i="10"/>
  <c r="I26" i="14"/>
  <c r="K26" i="14" s="1"/>
  <c r="T31" i="10"/>
  <c r="R27" i="14"/>
  <c r="T27" i="14" s="1"/>
  <c r="T34" i="10"/>
  <c r="R30" i="14"/>
  <c r="T30" i="14" s="1"/>
  <c r="K33" i="10"/>
  <c r="I29" i="14"/>
  <c r="K29" i="14" s="1"/>
  <c r="I38" i="14"/>
  <c r="K38" i="14" s="1"/>
  <c r="F43" i="14"/>
  <c r="K55" i="10"/>
  <c r="I42" i="14"/>
  <c r="K42" i="14" s="1"/>
  <c r="O43" i="14"/>
  <c r="Q43" i="14" s="1"/>
  <c r="F50" i="14"/>
  <c r="N62" i="10"/>
  <c r="L53" i="14"/>
  <c r="N53" i="14" s="1"/>
  <c r="R54" i="14"/>
  <c r="T54" i="14" s="1"/>
  <c r="K66" i="10"/>
  <c r="I57" i="14"/>
  <c r="K57" i="14" s="1"/>
  <c r="O58" i="14"/>
  <c r="Q58" i="14" s="1"/>
  <c r="K87" i="10"/>
  <c r="I67" i="14"/>
  <c r="K67" i="14" s="1"/>
  <c r="F72" i="14"/>
  <c r="H86" i="14"/>
  <c r="O79" i="14"/>
  <c r="Q79" i="14" s="1"/>
  <c r="I86" i="14"/>
  <c r="K86" i="14" s="1"/>
  <c r="Q89" i="10"/>
  <c r="O69" i="14"/>
  <c r="Q69" i="14" s="1"/>
  <c r="I74" i="14"/>
  <c r="K74" i="14" s="1"/>
  <c r="O75" i="14"/>
  <c r="Q75" i="14" s="1"/>
  <c r="F39" i="14"/>
  <c r="F46" i="14"/>
  <c r="O6" i="14"/>
  <c r="K22" i="10"/>
  <c r="I18" i="14"/>
  <c r="K18" i="14" s="1"/>
  <c r="K20" i="10"/>
  <c r="I16" i="14"/>
  <c r="K16" i="14" s="1"/>
  <c r="F32" i="14"/>
  <c r="N30" i="10"/>
  <c r="L26" i="14"/>
  <c r="N26" i="14" s="1"/>
  <c r="I33" i="14"/>
  <c r="K33" i="14" s="1"/>
  <c r="F29" i="14"/>
  <c r="L38" i="14"/>
  <c r="N38" i="14" s="1"/>
  <c r="F44" i="14"/>
  <c r="N55" i="10"/>
  <c r="L42" i="14"/>
  <c r="N42" i="14" s="1"/>
  <c r="R43" i="14"/>
  <c r="T43" i="14" s="1"/>
  <c r="K57" i="10"/>
  <c r="I48" i="14"/>
  <c r="K48" i="14" s="1"/>
  <c r="F52" i="14"/>
  <c r="K61" i="10"/>
  <c r="I52" i="14"/>
  <c r="K52" i="14" s="1"/>
  <c r="O53" i="14"/>
  <c r="Q53" i="14" s="1"/>
  <c r="N66" i="10"/>
  <c r="L57" i="14"/>
  <c r="N57" i="14" s="1"/>
  <c r="R58" i="14"/>
  <c r="T58" i="14" s="1"/>
  <c r="N87" i="10"/>
  <c r="L67" i="14"/>
  <c r="N67" i="14" s="1"/>
  <c r="F73" i="14"/>
  <c r="I78" i="14"/>
  <c r="K78" i="14" s="1"/>
  <c r="R79" i="14"/>
  <c r="T79" i="14" s="1"/>
  <c r="L86" i="14"/>
  <c r="N86" i="14" s="1"/>
  <c r="R69" i="14"/>
  <c r="T69" i="14" s="1"/>
  <c r="L74" i="14"/>
  <c r="N74" i="14" s="1"/>
  <c r="R75" i="14"/>
  <c r="T75" i="14" s="1"/>
  <c r="I39" i="14"/>
  <c r="K39" i="14" s="1"/>
  <c r="N6" i="10"/>
  <c r="L6" i="14"/>
  <c r="T6" i="10"/>
  <c r="R6" i="14"/>
  <c r="L18" i="14"/>
  <c r="N18" i="14" s="1"/>
  <c r="K23" i="10"/>
  <c r="I19" i="14"/>
  <c r="K19" i="14" s="1"/>
  <c r="F33" i="14"/>
  <c r="O26" i="14"/>
  <c r="Q26" i="14" s="1"/>
  <c r="N33" i="10"/>
  <c r="L29" i="14"/>
  <c r="N29" i="14" s="1"/>
  <c r="L33" i="14"/>
  <c r="N33" i="14" s="1"/>
  <c r="K52" i="10"/>
  <c r="I37" i="14"/>
  <c r="K37" i="14" s="1"/>
  <c r="O38" i="14"/>
  <c r="Q38" i="14" s="1"/>
  <c r="K54" i="10"/>
  <c r="I41" i="14"/>
  <c r="K41" i="14" s="1"/>
  <c r="O42" i="14"/>
  <c r="Q42" i="14" s="1"/>
  <c r="N57" i="10"/>
  <c r="F53" i="14"/>
  <c r="N61" i="10"/>
  <c r="L52" i="14"/>
  <c r="N52" i="14" s="1"/>
  <c r="R53" i="14"/>
  <c r="T53" i="14" s="1"/>
  <c r="O57" i="14"/>
  <c r="Q57" i="14" s="1"/>
  <c r="K86" i="10"/>
  <c r="I66" i="14"/>
  <c r="K66" i="14" s="1"/>
  <c r="Q87" i="10"/>
  <c r="O67" i="14"/>
  <c r="Q67" i="14" s="1"/>
  <c r="H74" i="14"/>
  <c r="L78" i="14"/>
  <c r="N78" i="14" s="1"/>
  <c r="I85" i="14"/>
  <c r="K85" i="14" s="1"/>
  <c r="O86" i="14"/>
  <c r="Q86" i="14" s="1"/>
  <c r="I73" i="14"/>
  <c r="K73" i="14" s="1"/>
  <c r="O74" i="14"/>
  <c r="Q74" i="14" s="1"/>
  <c r="L39" i="14"/>
  <c r="N39" i="14" s="1"/>
  <c r="I11" i="14"/>
  <c r="K21" i="10"/>
  <c r="I17" i="14"/>
  <c r="K17" i="14" s="1"/>
  <c r="O18" i="14"/>
  <c r="Q18" i="14" s="1"/>
  <c r="K26" i="10"/>
  <c r="I22" i="14"/>
  <c r="K22" i="14" s="1"/>
  <c r="I25" i="14"/>
  <c r="T30" i="10"/>
  <c r="R26" i="14"/>
  <c r="T26" i="14" s="1"/>
  <c r="Q33" i="10"/>
  <c r="O29" i="14"/>
  <c r="Q29" i="14" s="1"/>
  <c r="I32" i="14"/>
  <c r="K32" i="14" s="1"/>
  <c r="O33" i="14"/>
  <c r="Q33" i="14" s="1"/>
  <c r="F28" i="14"/>
  <c r="F37" i="14"/>
  <c r="N52" i="10"/>
  <c r="L37" i="14"/>
  <c r="N37" i="14" s="1"/>
  <c r="R38" i="14"/>
  <c r="T38" i="14" s="1"/>
  <c r="N54" i="10"/>
  <c r="L41" i="14"/>
  <c r="N41" i="14" s="1"/>
  <c r="R42" i="14"/>
  <c r="T42" i="14" s="1"/>
  <c r="I47" i="14"/>
  <c r="K47" i="14" s="1"/>
  <c r="K59" i="10"/>
  <c r="I50" i="14"/>
  <c r="K50" i="14" s="1"/>
  <c r="O52" i="14"/>
  <c r="Q52" i="14" s="1"/>
  <c r="R57" i="14"/>
  <c r="T57" i="14" s="1"/>
  <c r="L66" i="14"/>
  <c r="N66" i="14" s="1"/>
  <c r="R67" i="14"/>
  <c r="T67" i="14" s="1"/>
  <c r="F75" i="14"/>
  <c r="O78" i="14"/>
  <c r="Q78" i="14" s="1"/>
  <c r="L85" i="14"/>
  <c r="N85" i="14" s="1"/>
  <c r="R86" i="14"/>
  <c r="T86" i="14" s="1"/>
  <c r="L73" i="14"/>
  <c r="N73" i="14" s="1"/>
  <c r="R74" i="14"/>
  <c r="T74" i="14" s="1"/>
  <c r="O39" i="14"/>
  <c r="Q39" i="14" s="1"/>
  <c r="L11" i="14"/>
  <c r="N11" i="14" s="1"/>
  <c r="T19" i="10"/>
  <c r="R15" i="14"/>
  <c r="T15" i="14" s="1"/>
  <c r="L17" i="14"/>
  <c r="N17" i="14" s="1"/>
  <c r="T22" i="10"/>
  <c r="R18" i="14"/>
  <c r="T18" i="14" s="1"/>
  <c r="N26" i="10"/>
  <c r="L22" i="14"/>
  <c r="N22" i="14" s="1"/>
  <c r="L25" i="14"/>
  <c r="T33" i="10"/>
  <c r="R29" i="14"/>
  <c r="T29" i="14" s="1"/>
  <c r="L32" i="14"/>
  <c r="N32" i="14" s="1"/>
  <c r="K32" i="10"/>
  <c r="I28" i="14"/>
  <c r="K28" i="14" s="1"/>
  <c r="F38" i="14"/>
  <c r="O37" i="14"/>
  <c r="Q37" i="14" s="1"/>
  <c r="O41" i="14"/>
  <c r="Q41" i="14" s="1"/>
  <c r="F45" i="14"/>
  <c r="L47" i="14"/>
  <c r="N47" i="14" s="1"/>
  <c r="F55" i="14"/>
  <c r="N59" i="10"/>
  <c r="L50" i="14"/>
  <c r="N50" i="14" s="1"/>
  <c r="R52" i="14"/>
  <c r="T52" i="14" s="1"/>
  <c r="I65" i="14"/>
  <c r="K65" i="14" s="1"/>
  <c r="Q86" i="10"/>
  <c r="O66" i="14"/>
  <c r="Q66" i="14" s="1"/>
  <c r="F76" i="14"/>
  <c r="R78" i="14"/>
  <c r="T78" i="14" s="1"/>
  <c r="I83" i="14"/>
  <c r="K83" i="14" s="1"/>
  <c r="O85" i="14"/>
  <c r="Q85" i="14" s="1"/>
  <c r="K92" i="10"/>
  <c r="I72" i="14"/>
  <c r="K72" i="14" s="1"/>
  <c r="O73" i="14"/>
  <c r="Q73" i="14" s="1"/>
  <c r="R39" i="14"/>
  <c r="T39" i="14" s="1"/>
  <c r="N20" i="10"/>
  <c r="L16" i="14"/>
  <c r="N16" i="14" s="1"/>
  <c r="O7" i="14"/>
  <c r="Q7" i="14" s="1"/>
  <c r="O11" i="14"/>
  <c r="Q11" i="14" s="1"/>
  <c r="O17" i="14"/>
  <c r="Q17" i="14" s="1"/>
  <c r="F22" i="14"/>
  <c r="O22" i="14"/>
  <c r="Q22" i="14" s="1"/>
  <c r="O25" i="14"/>
  <c r="K35" i="10"/>
  <c r="I31" i="14"/>
  <c r="K31" i="14" s="1"/>
  <c r="O32" i="14"/>
  <c r="Q32" i="14" s="1"/>
  <c r="N32" i="10"/>
  <c r="L28" i="14"/>
  <c r="N28" i="14" s="1"/>
  <c r="R37" i="14"/>
  <c r="T37" i="14" s="1"/>
  <c r="R41" i="14"/>
  <c r="T41" i="14" s="1"/>
  <c r="F47" i="14"/>
  <c r="I46" i="14"/>
  <c r="K46" i="14" s="1"/>
  <c r="O47" i="14"/>
  <c r="Q47" i="14" s="1"/>
  <c r="K58" i="10"/>
  <c r="I49" i="14"/>
  <c r="K49" i="14" s="1"/>
  <c r="O50" i="14"/>
  <c r="Q50" i="14" s="1"/>
  <c r="F57" i="14"/>
  <c r="L65" i="14"/>
  <c r="N65" i="14" s="1"/>
  <c r="T86" i="10"/>
  <c r="R66" i="14"/>
  <c r="T66" i="14" s="1"/>
  <c r="F77" i="14"/>
  <c r="L83" i="14"/>
  <c r="N83" i="14" s="1"/>
  <c r="R85" i="14"/>
  <c r="T85" i="14" s="1"/>
  <c r="N92" i="10"/>
  <c r="L72" i="14"/>
  <c r="N72" i="14" s="1"/>
  <c r="R73" i="14"/>
  <c r="T73" i="14" s="1"/>
  <c r="I77" i="14"/>
  <c r="K77" i="14" s="1"/>
  <c r="O15" i="14"/>
  <c r="Q15" i="14" s="1"/>
  <c r="I9" i="14"/>
  <c r="L9" i="14"/>
  <c r="N9" i="14" s="1"/>
  <c r="R11" i="14"/>
  <c r="T11" i="14" s="1"/>
  <c r="F13" i="14"/>
  <c r="K18" i="10"/>
  <c r="I14" i="14"/>
  <c r="K14" i="14" s="1"/>
  <c r="T21" i="10"/>
  <c r="R17" i="14"/>
  <c r="T17" i="14" s="1"/>
  <c r="T26" i="10"/>
  <c r="R22" i="14"/>
  <c r="T22" i="14" s="1"/>
  <c r="T29" i="10"/>
  <c r="R25" i="14"/>
  <c r="L35" i="10"/>
  <c r="N35" i="10" s="1"/>
  <c r="L31" i="14"/>
  <c r="N31" i="14" s="1"/>
  <c r="F48" i="14"/>
  <c r="R47" i="14"/>
  <c r="T47" i="14" s="1"/>
  <c r="L49" i="14"/>
  <c r="N49" i="14" s="1"/>
  <c r="R50" i="14"/>
  <c r="T50" i="14" s="1"/>
  <c r="F58" i="14"/>
  <c r="I64" i="14"/>
  <c r="K64" i="14" s="1"/>
  <c r="O65" i="14"/>
  <c r="Q65" i="14" s="1"/>
  <c r="F78" i="14"/>
  <c r="I81" i="14"/>
  <c r="O83" i="14"/>
  <c r="Q83" i="14" s="1"/>
  <c r="K91" i="10"/>
  <c r="I71" i="14"/>
  <c r="K71" i="14" s="1"/>
  <c r="Q92" i="10"/>
  <c r="O72" i="14"/>
  <c r="Q72" i="14" s="1"/>
  <c r="L77" i="14"/>
  <c r="N77" i="14" s="1"/>
  <c r="T23" i="10"/>
  <c r="R19" i="14"/>
  <c r="T19" i="14" s="1"/>
  <c r="I8" i="14"/>
  <c r="O9" i="14"/>
  <c r="Q9" i="14" s="1"/>
  <c r="F17" i="14"/>
  <c r="N18" i="10"/>
  <c r="L14" i="14"/>
  <c r="N14" i="14" s="1"/>
  <c r="K19" i="10"/>
  <c r="I15" i="14"/>
  <c r="K15" i="14" s="1"/>
  <c r="F25" i="14"/>
  <c r="Q32" i="10"/>
  <c r="O28" i="14"/>
  <c r="Q28" i="14" s="1"/>
  <c r="O35" i="10"/>
  <c r="Q35" i="10" s="1"/>
  <c r="O31" i="14"/>
  <c r="Q31" i="14" s="1"/>
  <c r="K34" i="10"/>
  <c r="I30" i="14"/>
  <c r="K30" i="14" s="1"/>
  <c r="I44" i="14"/>
  <c r="K44" i="14" s="1"/>
  <c r="I45" i="14"/>
  <c r="K45" i="14" s="1"/>
  <c r="O46" i="14"/>
  <c r="Q46" i="14" s="1"/>
  <c r="O49" i="14"/>
  <c r="Q49" i="14" s="1"/>
  <c r="K64" i="10"/>
  <c r="I55" i="14"/>
  <c r="K55" i="14" s="1"/>
  <c r="F61" i="14"/>
  <c r="L64" i="14"/>
  <c r="N64" i="14" s="1"/>
  <c r="R65" i="14"/>
  <c r="T65" i="14" s="1"/>
  <c r="F79" i="14"/>
  <c r="L81" i="14"/>
  <c r="N81" i="14" s="1"/>
  <c r="R83" i="14"/>
  <c r="T83" i="14" s="1"/>
  <c r="N91" i="10"/>
  <c r="L71" i="14"/>
  <c r="N71" i="14" s="1"/>
  <c r="R72" i="14"/>
  <c r="T72" i="14" s="1"/>
  <c r="I76" i="14"/>
  <c r="K76" i="14" s="1"/>
  <c r="O77" i="14"/>
  <c r="Q77" i="14" s="1"/>
  <c r="I6" i="14"/>
  <c r="L8" i="14"/>
  <c r="N8" i="14" s="1"/>
  <c r="T10" i="10"/>
  <c r="R9" i="14"/>
  <c r="T9" i="14" s="1"/>
  <c r="F14" i="14"/>
  <c r="Q18" i="10"/>
  <c r="Q24" i="10" s="1"/>
  <c r="O14" i="14"/>
  <c r="Q14" i="14" s="1"/>
  <c r="O16" i="14"/>
  <c r="Q16" i="14" s="1"/>
  <c r="N19" i="10"/>
  <c r="L15" i="14"/>
  <c r="N15" i="14" s="1"/>
  <c r="F26" i="14"/>
  <c r="R28" i="14"/>
  <c r="T28" i="14" s="1"/>
  <c r="R35" i="10"/>
  <c r="T35" i="10" s="1"/>
  <c r="R31" i="14"/>
  <c r="T31" i="14" s="1"/>
  <c r="L44" i="14"/>
  <c r="N44" i="14" s="1"/>
  <c r="L45" i="14"/>
  <c r="N45" i="14" s="1"/>
  <c r="R46" i="14"/>
  <c r="T46" i="14" s="1"/>
  <c r="R49" i="14"/>
  <c r="T49" i="14" s="1"/>
  <c r="N64" i="10"/>
  <c r="L55" i="14"/>
  <c r="N55" i="14" s="1"/>
  <c r="F64" i="14"/>
  <c r="K70" i="10"/>
  <c r="I61" i="14"/>
  <c r="K61" i="14" s="1"/>
  <c r="O64" i="14"/>
  <c r="Q64" i="14" s="1"/>
  <c r="F80" i="14"/>
  <c r="I80" i="14"/>
  <c r="K80" i="14" s="1"/>
  <c r="O81" i="14"/>
  <c r="Q81" i="14" s="1"/>
  <c r="K90" i="10"/>
  <c r="I70" i="14"/>
  <c r="K70" i="14" s="1"/>
  <c r="O71" i="14"/>
  <c r="Q71" i="14" s="1"/>
  <c r="L76" i="14"/>
  <c r="N76" i="14" s="1"/>
  <c r="R77" i="14"/>
  <c r="T77" i="14" s="1"/>
  <c r="F15" i="14"/>
  <c r="I7" i="14"/>
  <c r="O8" i="14"/>
  <c r="Q8" i="14" s="1"/>
  <c r="I13" i="14"/>
  <c r="T18" i="10"/>
  <c r="R14" i="14"/>
  <c r="T14" i="14" s="1"/>
  <c r="T20" i="10"/>
  <c r="R16" i="14"/>
  <c r="T16" i="14" s="1"/>
  <c r="K31" i="10"/>
  <c r="I27" i="14"/>
  <c r="K27" i="14" s="1"/>
  <c r="F30" i="14"/>
  <c r="R44" i="14"/>
  <c r="T44" i="14" s="1"/>
  <c r="O45" i="14"/>
  <c r="Q45" i="14" s="1"/>
  <c r="K63" i="10"/>
  <c r="I54" i="14"/>
  <c r="K54" i="14" s="1"/>
  <c r="O55" i="14"/>
  <c r="Q55" i="14" s="1"/>
  <c r="F65" i="14"/>
  <c r="N70" i="10"/>
  <c r="L61" i="14"/>
  <c r="N61" i="14" s="1"/>
  <c r="R64" i="14"/>
  <c r="T64" i="14" s="1"/>
  <c r="F69" i="14"/>
  <c r="H69" i="14" s="1"/>
  <c r="F81" i="14"/>
  <c r="H81" i="14" s="1"/>
  <c r="L80" i="14"/>
  <c r="N80" i="14" s="1"/>
  <c r="R81" i="14"/>
  <c r="T81" i="14" s="1"/>
  <c r="N90" i="10"/>
  <c r="L70" i="14"/>
  <c r="N70" i="14" s="1"/>
  <c r="AM91" i="10"/>
  <c r="AO91" i="10" s="1"/>
  <c r="R71" i="14"/>
  <c r="T71" i="14" s="1"/>
  <c r="O76" i="14"/>
  <c r="Q76" i="14" s="1"/>
  <c r="F16" i="14"/>
  <c r="D28" i="10"/>
  <c r="D95" i="10" s="1"/>
  <c r="E24" i="10"/>
  <c r="B36" i="10"/>
  <c r="B24" i="10"/>
  <c r="O142" i="9"/>
  <c r="D15" i="9"/>
  <c r="O95" i="9"/>
  <c r="O144" i="9"/>
  <c r="O53" i="9"/>
  <c r="I56" i="14"/>
  <c r="K56" i="14" s="1"/>
  <c r="O54" i="9"/>
  <c r="I40" i="14"/>
  <c r="K40" i="14" s="1"/>
  <c r="O136" i="9"/>
  <c r="O91" i="9"/>
  <c r="O16" i="9"/>
  <c r="O116" i="9"/>
  <c r="O17" i="9"/>
  <c r="O140" i="9"/>
  <c r="C36" i="10"/>
  <c r="O83" i="9"/>
  <c r="O44" i="14"/>
  <c r="Q44" i="14" s="1"/>
  <c r="C15" i="9"/>
  <c r="T16" i="10" l="1"/>
  <c r="O48" i="9"/>
  <c r="AO38" i="10"/>
  <c r="AP38" i="10" s="1"/>
  <c r="Q31" i="10"/>
  <c r="AL38" i="10"/>
  <c r="AI78" i="10"/>
  <c r="AO78" i="10"/>
  <c r="AI38" i="10"/>
  <c r="AP74" i="10"/>
  <c r="Q30" i="10"/>
  <c r="O36" i="10"/>
  <c r="AC16" i="10"/>
  <c r="AO12" i="10"/>
  <c r="D96" i="10"/>
  <c r="F94" i="10"/>
  <c r="F95" i="10" s="1"/>
  <c r="Q91" i="10"/>
  <c r="AP91" i="10"/>
  <c r="N86" i="10"/>
  <c r="L93" i="10"/>
  <c r="AO70" i="10"/>
  <c r="T91" i="10"/>
  <c r="T93" i="10" s="1"/>
  <c r="AC36" i="10"/>
  <c r="AA36" i="10"/>
  <c r="Z36" i="10"/>
  <c r="O84" i="9"/>
  <c r="AG36" i="10"/>
  <c r="AM18" i="10"/>
  <c r="AM30" i="10"/>
  <c r="AM22" i="10"/>
  <c r="AM29" i="10"/>
  <c r="AM35" i="10"/>
  <c r="X36" i="10"/>
  <c r="H65" i="10"/>
  <c r="H64" i="10"/>
  <c r="AD36" i="10"/>
  <c r="AF29" i="10"/>
  <c r="AC19" i="10"/>
  <c r="H31" i="10"/>
  <c r="H91" i="10"/>
  <c r="H58" i="10"/>
  <c r="H54" i="10"/>
  <c r="H53" i="10"/>
  <c r="H33" i="10"/>
  <c r="H22" i="10"/>
  <c r="H55" i="10"/>
  <c r="H21" i="10"/>
  <c r="H67" i="10"/>
  <c r="H87" i="10"/>
  <c r="H23" i="10"/>
  <c r="H34" i="10"/>
  <c r="H17" i="10"/>
  <c r="H52" i="10"/>
  <c r="H92" i="10"/>
  <c r="H59" i="10"/>
  <c r="H66" i="10"/>
  <c r="H32" i="10"/>
  <c r="H86" i="10"/>
  <c r="H20" i="10"/>
  <c r="H19" i="10"/>
  <c r="H18" i="10"/>
  <c r="H89" i="10"/>
  <c r="H70" i="10"/>
  <c r="H26" i="10"/>
  <c r="H61" i="10"/>
  <c r="H40" i="14"/>
  <c r="K88" i="10"/>
  <c r="I68" i="14"/>
  <c r="H56" i="14"/>
  <c r="L24" i="10"/>
  <c r="H56" i="10"/>
  <c r="L36" i="10"/>
  <c r="K6" i="10"/>
  <c r="H62" i="10"/>
  <c r="H30" i="10"/>
  <c r="H57" i="10"/>
  <c r="H65" i="14"/>
  <c r="AA65" i="14"/>
  <c r="AC65" i="14" s="1"/>
  <c r="AA30" i="14"/>
  <c r="AC30" i="14" s="1"/>
  <c r="AD30" i="14" s="1"/>
  <c r="H30" i="14"/>
  <c r="H64" i="14"/>
  <c r="AA64" i="14"/>
  <c r="AC64" i="14" s="1"/>
  <c r="AD64" i="14" s="1"/>
  <c r="H79" i="14"/>
  <c r="AA79" i="14"/>
  <c r="AC79" i="14" s="1"/>
  <c r="AD79" i="14" s="1"/>
  <c r="F20" i="14"/>
  <c r="AA13" i="14"/>
  <c r="H13" i="14"/>
  <c r="H47" i="14"/>
  <c r="AA47" i="14"/>
  <c r="AC47" i="14" s="1"/>
  <c r="AD47" i="14" s="1"/>
  <c r="AA75" i="14"/>
  <c r="AC75" i="14" s="1"/>
  <c r="AD75" i="14" s="1"/>
  <c r="H75" i="14"/>
  <c r="AA74" i="14"/>
  <c r="AC74" i="14" s="1"/>
  <c r="AD74" i="14" s="1"/>
  <c r="H53" i="14"/>
  <c r="AA53" i="14"/>
  <c r="AC53" i="14" s="1"/>
  <c r="AD53" i="14" s="1"/>
  <c r="H46" i="14"/>
  <c r="H18" i="14"/>
  <c r="AA18" i="14"/>
  <c r="AC18" i="14" s="1"/>
  <c r="AD18" i="14" s="1"/>
  <c r="AA42" i="14"/>
  <c r="AC42" i="14" s="1"/>
  <c r="H42" i="14"/>
  <c r="Q13" i="14"/>
  <c r="Q20" i="14" s="1"/>
  <c r="O20" i="14"/>
  <c r="H66" i="14"/>
  <c r="AA66" i="14"/>
  <c r="AC66" i="14" s="1"/>
  <c r="AD66" i="14" s="1"/>
  <c r="N16" i="10"/>
  <c r="AA54" i="14"/>
  <c r="AC54" i="14" s="1"/>
  <c r="AD54" i="14" s="1"/>
  <c r="I24" i="10"/>
  <c r="K7" i="14"/>
  <c r="AA7" i="14"/>
  <c r="AC7" i="14" s="1"/>
  <c r="AD7" i="14" s="1"/>
  <c r="AA25" i="14"/>
  <c r="H25" i="14"/>
  <c r="F34" i="14"/>
  <c r="K8" i="14"/>
  <c r="AA8" i="14"/>
  <c r="AC8" i="14" s="1"/>
  <c r="AD8" i="14" s="1"/>
  <c r="AA81" i="14"/>
  <c r="AC81" i="14" s="1"/>
  <c r="AI98" i="14" s="1"/>
  <c r="K81" i="14"/>
  <c r="T25" i="14"/>
  <c r="T34" i="14" s="1"/>
  <c r="R34" i="14"/>
  <c r="AA57" i="14"/>
  <c r="AC57" i="14" s="1"/>
  <c r="H57" i="14"/>
  <c r="Q25" i="14"/>
  <c r="Q34" i="14" s="1"/>
  <c r="O34" i="14"/>
  <c r="H55" i="14"/>
  <c r="AA55" i="14"/>
  <c r="AC55" i="14" s="1"/>
  <c r="AD55" i="14" s="1"/>
  <c r="H38" i="14"/>
  <c r="AA38" i="14"/>
  <c r="AC38" i="14" s="1"/>
  <c r="AD38" i="14" s="1"/>
  <c r="H37" i="14"/>
  <c r="AA37" i="14"/>
  <c r="AC37" i="14" s="1"/>
  <c r="K25" i="14"/>
  <c r="K34" i="14" s="1"/>
  <c r="I34" i="14"/>
  <c r="T6" i="14"/>
  <c r="T12" i="14" s="1"/>
  <c r="R12" i="14"/>
  <c r="AA39" i="14"/>
  <c r="AC39" i="14" s="1"/>
  <c r="H39" i="14"/>
  <c r="H67" i="14"/>
  <c r="AA67" i="14"/>
  <c r="AC67" i="14" s="1"/>
  <c r="AD67" i="14" s="1"/>
  <c r="H19" i="14"/>
  <c r="AA19" i="14"/>
  <c r="AC19" i="14" s="1"/>
  <c r="AD19" i="14" s="1"/>
  <c r="AA86" i="14"/>
  <c r="AC86" i="14" s="1"/>
  <c r="AD86" i="14" s="1"/>
  <c r="H16" i="14"/>
  <c r="AA16" i="14"/>
  <c r="AC16" i="14" s="1"/>
  <c r="AD16" i="14" s="1"/>
  <c r="H15" i="14"/>
  <c r="AA15" i="14"/>
  <c r="AC15" i="14" s="1"/>
  <c r="AD15" i="14" s="1"/>
  <c r="H14" i="14"/>
  <c r="AA14" i="14"/>
  <c r="AC14" i="14" s="1"/>
  <c r="AD14" i="14" s="1"/>
  <c r="H78" i="14"/>
  <c r="AA78" i="14"/>
  <c r="AC78" i="14" s="1"/>
  <c r="AD78" i="14" s="1"/>
  <c r="AA76" i="14"/>
  <c r="AC76" i="14" s="1"/>
  <c r="AD76" i="14" s="1"/>
  <c r="H76" i="14"/>
  <c r="H28" i="14"/>
  <c r="AA28" i="14"/>
  <c r="AC28" i="14" s="1"/>
  <c r="AD28" i="14" s="1"/>
  <c r="N6" i="14"/>
  <c r="N12" i="14" s="1"/>
  <c r="L12" i="14"/>
  <c r="H44" i="14"/>
  <c r="AA44" i="14"/>
  <c r="AC44" i="14" s="1"/>
  <c r="AD44" i="14" s="1"/>
  <c r="AA32" i="14"/>
  <c r="AC32" i="14" s="1"/>
  <c r="H32" i="14"/>
  <c r="AA72" i="14"/>
  <c r="AC72" i="14" s="1"/>
  <c r="AD72" i="14" s="1"/>
  <c r="H72" i="14"/>
  <c r="H50" i="14"/>
  <c r="AA50" i="14"/>
  <c r="AC50" i="14" s="1"/>
  <c r="AD50" i="14" s="1"/>
  <c r="AA83" i="14"/>
  <c r="AC83" i="14" s="1"/>
  <c r="AD83" i="14" s="1"/>
  <c r="R20" i="14"/>
  <c r="R36" i="10"/>
  <c r="AA80" i="14"/>
  <c r="AC80" i="14" s="1"/>
  <c r="H80" i="14"/>
  <c r="H26" i="14"/>
  <c r="AA26" i="14"/>
  <c r="AC26" i="14" s="1"/>
  <c r="AD26" i="14" s="1"/>
  <c r="H61" i="14"/>
  <c r="AA61" i="14"/>
  <c r="AC61" i="14" s="1"/>
  <c r="AD61" i="14" s="1"/>
  <c r="AA9" i="14"/>
  <c r="AC9" i="14" s="1"/>
  <c r="AD9" i="14" s="1"/>
  <c r="K9" i="14"/>
  <c r="H22" i="14"/>
  <c r="AA22" i="14"/>
  <c r="AC22" i="14" s="1"/>
  <c r="AD22" i="14" s="1"/>
  <c r="H85" i="14"/>
  <c r="AA85" i="14"/>
  <c r="AC85" i="14" s="1"/>
  <c r="AD85" i="14" s="1"/>
  <c r="L20" i="14"/>
  <c r="N13" i="14"/>
  <c r="N20" i="14" s="1"/>
  <c r="AA70" i="14"/>
  <c r="AC70" i="14" s="1"/>
  <c r="H29" i="10"/>
  <c r="I36" i="10"/>
  <c r="H48" i="14"/>
  <c r="H77" i="14"/>
  <c r="AA77" i="14"/>
  <c r="AC77" i="14" s="1"/>
  <c r="AD77" i="14" s="1"/>
  <c r="H45" i="14"/>
  <c r="AA45" i="14"/>
  <c r="AC45" i="14" s="1"/>
  <c r="T20" i="14"/>
  <c r="H33" i="14"/>
  <c r="AA33" i="14"/>
  <c r="AC33" i="14" s="1"/>
  <c r="AI97" i="14" s="1"/>
  <c r="H73" i="14"/>
  <c r="AA73" i="14"/>
  <c r="AC73" i="14" s="1"/>
  <c r="AD73" i="14" s="1"/>
  <c r="H52" i="14"/>
  <c r="AA52" i="14"/>
  <c r="AC52" i="14" s="1"/>
  <c r="AD52" i="14" s="1"/>
  <c r="H71" i="14"/>
  <c r="AA71" i="14"/>
  <c r="AC71" i="14" s="1"/>
  <c r="H49" i="14"/>
  <c r="AA49" i="14"/>
  <c r="AC49" i="14" s="1"/>
  <c r="H27" i="14"/>
  <c r="AA27" i="14"/>
  <c r="AC27" i="14" s="1"/>
  <c r="AD27" i="14" s="1"/>
  <c r="K13" i="14"/>
  <c r="K20" i="14" s="1"/>
  <c r="I20" i="14"/>
  <c r="K6" i="14"/>
  <c r="I12" i="14"/>
  <c r="AA6" i="14"/>
  <c r="AA17" i="14"/>
  <c r="AC17" i="14" s="1"/>
  <c r="H17" i="14"/>
  <c r="H58" i="14"/>
  <c r="AA58" i="14"/>
  <c r="AC58" i="14" s="1"/>
  <c r="AD58" i="14" s="1"/>
  <c r="N25" i="14"/>
  <c r="N34" i="14" s="1"/>
  <c r="L34" i="14"/>
  <c r="K11" i="14"/>
  <c r="AA11" i="14"/>
  <c r="AC11" i="14" s="1"/>
  <c r="AD11" i="14" s="1"/>
  <c r="H29" i="14"/>
  <c r="AA29" i="14"/>
  <c r="AC29" i="14" s="1"/>
  <c r="AD29" i="14" s="1"/>
  <c r="O12" i="14"/>
  <c r="Q6" i="14"/>
  <c r="Q12" i="14" s="1"/>
  <c r="H43" i="14"/>
  <c r="AA43" i="14"/>
  <c r="AC43" i="14" s="1"/>
  <c r="AD43" i="14" s="1"/>
  <c r="AA31" i="14"/>
  <c r="AC31" i="14" s="1"/>
  <c r="AD31" i="14" s="1"/>
  <c r="H31" i="14"/>
  <c r="AA69" i="14"/>
  <c r="AC69" i="14" s="1"/>
  <c r="K69" i="14"/>
  <c r="H41" i="14"/>
  <c r="AA41" i="14"/>
  <c r="AC41" i="14" s="1"/>
  <c r="AD41" i="14" s="1"/>
  <c r="T32" i="10"/>
  <c r="T36" i="10" s="1"/>
  <c r="O94" i="9"/>
  <c r="L68" i="14"/>
  <c r="N68" i="14" s="1"/>
  <c r="L56" i="14"/>
  <c r="N56" i="14" s="1"/>
  <c r="L40" i="14"/>
  <c r="N40" i="14" s="1"/>
  <c r="H63" i="10"/>
  <c r="H90" i="10"/>
  <c r="H88" i="10"/>
  <c r="O15" i="9"/>
  <c r="AM24" i="10" l="1"/>
  <c r="H36" i="10"/>
  <c r="D157" i="9"/>
  <c r="AP78" i="10"/>
  <c r="AP86" i="10"/>
  <c r="AC24" i="10"/>
  <c r="AF36" i="10"/>
  <c r="AP70" i="10"/>
  <c r="K93" i="10"/>
  <c r="AP12" i="10"/>
  <c r="K16" i="10"/>
  <c r="H93" i="10"/>
  <c r="AO22" i="10"/>
  <c r="AO21" i="10"/>
  <c r="AO30" i="10"/>
  <c r="AM93" i="10"/>
  <c r="AO34" i="10"/>
  <c r="AO33" i="10"/>
  <c r="AO32" i="10"/>
  <c r="AO31" i="10"/>
  <c r="AO18" i="10"/>
  <c r="AO26" i="10"/>
  <c r="AO23" i="10"/>
  <c r="AO35" i="10"/>
  <c r="AP9" i="10"/>
  <c r="AM36" i="10"/>
  <c r="AP20" i="10"/>
  <c r="H24" i="10"/>
  <c r="K68" i="14"/>
  <c r="AF33" i="14"/>
  <c r="AG34" i="14"/>
  <c r="H34" i="14"/>
  <c r="AE34" i="14" s="1"/>
  <c r="AP19" i="10"/>
  <c r="H20" i="14"/>
  <c r="AA20" i="14"/>
  <c r="AC13" i="14"/>
  <c r="AC6" i="14"/>
  <c r="AA12" i="14"/>
  <c r="K12" i="14"/>
  <c r="AC25" i="14"/>
  <c r="AA34" i="14"/>
  <c r="O68" i="14"/>
  <c r="Q68" i="14" s="1"/>
  <c r="O56" i="14"/>
  <c r="Q56" i="14" s="1"/>
  <c r="K53" i="10"/>
  <c r="K65" i="10"/>
  <c r="AO93" i="10" l="1"/>
  <c r="AP21" i="10"/>
  <c r="AP18" i="10"/>
  <c r="AP30" i="10"/>
  <c r="AP31" i="10"/>
  <c r="O40" i="14"/>
  <c r="Q40" i="14" s="1"/>
  <c r="AP22" i="10"/>
  <c r="AP35" i="10"/>
  <c r="AP34" i="10"/>
  <c r="AP32" i="10"/>
  <c r="AP33" i="10"/>
  <c r="AP23" i="10"/>
  <c r="AP26" i="10"/>
  <c r="AC12" i="14"/>
  <c r="AD6" i="14"/>
  <c r="AC34" i="14"/>
  <c r="AD34" i="14" s="1"/>
  <c r="AD25" i="14"/>
  <c r="AC20" i="14"/>
  <c r="AD20" i="14" s="1"/>
  <c r="AD13" i="14"/>
  <c r="N88" i="10"/>
  <c r="N65" i="10"/>
  <c r="R68" i="14"/>
  <c r="N53" i="10"/>
  <c r="N93" i="10" l="1"/>
  <c r="Q88" i="10"/>
  <c r="Q93" i="10" s="1"/>
  <c r="R40" i="14"/>
  <c r="T68" i="14"/>
  <c r="AA68" i="14"/>
  <c r="AC68" i="14" s="1"/>
  <c r="AD68" i="14" s="1"/>
  <c r="R56" i="14"/>
  <c r="AD12" i="14"/>
  <c r="AO41" i="10" l="1"/>
  <c r="AP41" i="10" s="1"/>
  <c r="W88" i="10"/>
  <c r="W93" i="10" s="1"/>
  <c r="W53" i="10"/>
  <c r="T56" i="14"/>
  <c r="AA56" i="14"/>
  <c r="AC56" i="14" s="1"/>
  <c r="T40" i="14"/>
  <c r="AA40" i="14"/>
  <c r="AC65" i="10" l="1"/>
  <c r="Z65" i="10"/>
  <c r="Z53" i="10"/>
  <c r="AC88" i="10"/>
  <c r="AC93" i="10" s="1"/>
  <c r="Z88" i="10"/>
  <c r="Z93" i="10" s="1"/>
  <c r="W65" i="10"/>
  <c r="AC40" i="14"/>
  <c r="AC53" i="10" l="1"/>
  <c r="AI93" i="10" l="1"/>
  <c r="AI53" i="10" l="1"/>
  <c r="AF93" i="10"/>
  <c r="AL88" i="10"/>
  <c r="AL93" i="10" s="1"/>
  <c r="O118" i="9" l="1"/>
  <c r="AL53" i="10"/>
  <c r="AL65" i="10"/>
  <c r="O90" i="9"/>
  <c r="U50" i="8" l="1"/>
  <c r="D99" i="8" l="1"/>
  <c r="Q19" i="8"/>
  <c r="T50" i="8"/>
  <c r="Q41" i="8"/>
  <c r="F20" i="8"/>
  <c r="G20" i="8"/>
  <c r="H20" i="8"/>
  <c r="I20" i="8"/>
  <c r="J20" i="8"/>
  <c r="K20" i="8"/>
  <c r="L20" i="8"/>
  <c r="M20" i="8"/>
  <c r="N20" i="8"/>
  <c r="O20" i="8"/>
  <c r="F23" i="8"/>
  <c r="F24" i="8" s="1"/>
  <c r="G23" i="8"/>
  <c r="G24" i="8" s="1"/>
  <c r="H23" i="8"/>
  <c r="I23" i="8"/>
  <c r="J23" i="8"/>
  <c r="K23" i="8"/>
  <c r="L23" i="8"/>
  <c r="M23" i="8"/>
  <c r="N23" i="8"/>
  <c r="O23" i="8"/>
  <c r="F34" i="8"/>
  <c r="G34" i="8"/>
  <c r="H34" i="8"/>
  <c r="I34" i="8"/>
  <c r="J34" i="8"/>
  <c r="K34" i="8"/>
  <c r="L34" i="8"/>
  <c r="M34" i="8"/>
  <c r="N34" i="8"/>
  <c r="O34" i="8"/>
  <c r="F87" i="8"/>
  <c r="G87" i="8"/>
  <c r="H87" i="8"/>
  <c r="I87" i="8"/>
  <c r="J87" i="8"/>
  <c r="K87" i="8"/>
  <c r="L87" i="8"/>
  <c r="M87" i="8"/>
  <c r="N87" i="8"/>
  <c r="O87" i="8"/>
  <c r="Q86" i="8"/>
  <c r="Q85" i="8"/>
  <c r="Q84" i="8"/>
  <c r="P84" i="8"/>
  <c r="Q83" i="8"/>
  <c r="Q82" i="8"/>
  <c r="P82" i="8"/>
  <c r="Q81" i="8"/>
  <c r="P81" i="8"/>
  <c r="Q80" i="8"/>
  <c r="P80" i="8"/>
  <c r="Q79" i="8"/>
  <c r="Q77" i="8"/>
  <c r="Q75" i="8"/>
  <c r="Q74" i="8"/>
  <c r="Q73" i="8"/>
  <c r="Q71" i="8"/>
  <c r="P71" i="8"/>
  <c r="Q70" i="8"/>
  <c r="P70" i="8"/>
  <c r="Q69" i="8"/>
  <c r="P69" i="8"/>
  <c r="Q66" i="8"/>
  <c r="Q65" i="8"/>
  <c r="P65" i="8"/>
  <c r="Q63" i="8"/>
  <c r="P63" i="8"/>
  <c r="Q62" i="8"/>
  <c r="P62" i="8"/>
  <c r="Q61" i="8"/>
  <c r="Q60" i="8"/>
  <c r="P60" i="8"/>
  <c r="Q59" i="8"/>
  <c r="P59" i="8"/>
  <c r="Q58" i="8"/>
  <c r="Q57" i="8"/>
  <c r="P57" i="8"/>
  <c r="Q56" i="8"/>
  <c r="P56" i="8"/>
  <c r="Q55" i="8"/>
  <c r="Q54" i="8"/>
  <c r="Q53" i="8"/>
  <c r="Q52" i="8"/>
  <c r="Q51" i="8"/>
  <c r="P51" i="8"/>
  <c r="Q50" i="8"/>
  <c r="Q49" i="8"/>
  <c r="P49" i="8"/>
  <c r="Q47" i="8"/>
  <c r="Q46" i="8"/>
  <c r="Q45" i="8"/>
  <c r="P45" i="8"/>
  <c r="Q44" i="8"/>
  <c r="Q42" i="8"/>
  <c r="P42" i="8"/>
  <c r="Q40" i="8"/>
  <c r="P40" i="8"/>
  <c r="Q39" i="8"/>
  <c r="P39" i="8"/>
  <c r="Q37" i="8"/>
  <c r="P37" i="8"/>
  <c r="Q36" i="8"/>
  <c r="Q33" i="8"/>
  <c r="P33" i="8"/>
  <c r="Q32" i="8"/>
  <c r="P32" i="8"/>
  <c r="Q31" i="8"/>
  <c r="Q26" i="8"/>
  <c r="Q18" i="8"/>
  <c r="Q17" i="8"/>
  <c r="P17" i="8"/>
  <c r="Q14" i="8"/>
  <c r="Q7" i="8"/>
  <c r="Q8" i="8"/>
  <c r="Q10" i="8"/>
  <c r="Q11" i="8"/>
  <c r="Q6" i="8"/>
  <c r="P7" i="8"/>
  <c r="P8" i="8"/>
  <c r="P6" i="8"/>
  <c r="F12" i="8"/>
  <c r="G12" i="8"/>
  <c r="H12" i="8"/>
  <c r="I12" i="8"/>
  <c r="J12" i="8"/>
  <c r="K12" i="8"/>
  <c r="L12" i="8"/>
  <c r="M12" i="8"/>
  <c r="N12" i="8"/>
  <c r="O12" i="8"/>
  <c r="E84" i="8"/>
  <c r="R84" i="8" s="1"/>
  <c r="S84" i="8" s="1"/>
  <c r="E82" i="8"/>
  <c r="R82" i="8" s="1"/>
  <c r="S82" i="8" s="1"/>
  <c r="E81" i="8"/>
  <c r="R81" i="8" s="1"/>
  <c r="E80" i="8"/>
  <c r="R80" i="8" s="1"/>
  <c r="E71" i="8"/>
  <c r="R71" i="8" s="1"/>
  <c r="E70" i="8"/>
  <c r="R70" i="8" s="1"/>
  <c r="E69" i="8"/>
  <c r="R69" i="8" s="1"/>
  <c r="E65" i="8"/>
  <c r="R65" i="8" s="1"/>
  <c r="E63" i="8"/>
  <c r="R63" i="8" s="1"/>
  <c r="S63" i="8" s="1"/>
  <c r="E62" i="8"/>
  <c r="R62" i="8" s="1"/>
  <c r="S62" i="8" s="1"/>
  <c r="E60" i="8"/>
  <c r="R60" i="8" s="1"/>
  <c r="S60" i="8" s="1"/>
  <c r="E59" i="8"/>
  <c r="R59" i="8" s="1"/>
  <c r="S59" i="8" s="1"/>
  <c r="E57" i="8"/>
  <c r="R57" i="8" s="1"/>
  <c r="E56" i="8"/>
  <c r="R56" i="8" s="1"/>
  <c r="E51" i="8"/>
  <c r="R51" i="8" s="1"/>
  <c r="E49" i="8"/>
  <c r="R49" i="8" s="1"/>
  <c r="E45" i="8"/>
  <c r="R45" i="8" s="1"/>
  <c r="E42" i="8"/>
  <c r="R42" i="8" s="1"/>
  <c r="E40" i="8"/>
  <c r="R40" i="8" s="1"/>
  <c r="E39" i="8"/>
  <c r="R39" i="8" s="1"/>
  <c r="E37" i="8"/>
  <c r="R37" i="8" s="1"/>
  <c r="Q35" i="8"/>
  <c r="Q28" i="8"/>
  <c r="E33" i="8"/>
  <c r="R33" i="8" s="1"/>
  <c r="E32" i="8"/>
  <c r="R32" i="8" s="1"/>
  <c r="E17" i="8"/>
  <c r="R17" i="8" s="1"/>
  <c r="Q67" i="8"/>
  <c r="Q78" i="8"/>
  <c r="Q43" i="8"/>
  <c r="Q48" i="8"/>
  <c r="Q72" i="8"/>
  <c r="Q76" i="8"/>
  <c r="Q64" i="8"/>
  <c r="Q38" i="8"/>
  <c r="Q68" i="8"/>
  <c r="Q27" i="8"/>
  <c r="Q29" i="8"/>
  <c r="Q30" i="8"/>
  <c r="Q22" i="8"/>
  <c r="Q16" i="8"/>
  <c r="Q15" i="8"/>
  <c r="Q25" i="8"/>
  <c r="Q13" i="8"/>
  <c r="E8" i="8"/>
  <c r="R8" i="8" s="1"/>
  <c r="E7" i="8"/>
  <c r="R7" i="8" s="1"/>
  <c r="E6" i="8"/>
  <c r="R6" i="8" s="1"/>
  <c r="E10" i="8"/>
  <c r="R10" i="8" s="1"/>
  <c r="D12" i="8"/>
  <c r="H24" i="8" l="1"/>
  <c r="AP93" i="10"/>
  <c r="K24" i="8"/>
  <c r="I24" i="8"/>
  <c r="J24" i="8"/>
  <c r="I88" i="8"/>
  <c r="I89" i="8" s="1"/>
  <c r="S51" i="8"/>
  <c r="Q20" i="8"/>
  <c r="Q87" i="8"/>
  <c r="D23" i="8"/>
  <c r="Q21" i="8"/>
  <c r="Q23" i="8" s="1"/>
  <c r="Q34" i="8"/>
  <c r="D96" i="8"/>
  <c r="D98" i="8" s="1"/>
  <c r="H88" i="8"/>
  <c r="H89" i="8" s="1"/>
  <c r="G88" i="8"/>
  <c r="G89" i="8" s="1"/>
  <c r="F88" i="8"/>
  <c r="F89" i="8" s="1"/>
  <c r="L24" i="8"/>
  <c r="L88" i="8" s="1"/>
  <c r="L89" i="8" s="1"/>
  <c r="Q9" i="8"/>
  <c r="Q12" i="8" s="1"/>
  <c r="P10" i="8"/>
  <c r="S10" i="8" s="1"/>
  <c r="J88" i="8"/>
  <c r="J89" i="8" s="1"/>
  <c r="O24" i="8"/>
  <c r="O88" i="8" s="1"/>
  <c r="O89" i="8" s="1"/>
  <c r="N24" i="8"/>
  <c r="M24" i="8"/>
  <c r="N88" i="8"/>
  <c r="N89" i="8" s="1"/>
  <c r="M88" i="8"/>
  <c r="M89" i="8" s="1"/>
  <c r="K88" i="8"/>
  <c r="K89" i="8" s="1"/>
  <c r="D87" i="8"/>
  <c r="D34" i="8"/>
  <c r="D20" i="8"/>
  <c r="Q24" i="8" l="1"/>
  <c r="Q88" i="8" s="1"/>
  <c r="Q89" i="8" s="1"/>
  <c r="D24" i="8"/>
  <c r="D88" i="8" s="1"/>
  <c r="D89" i="8" l="1"/>
  <c r="D100" i="8"/>
  <c r="P9" i="8" l="1"/>
  <c r="E53" i="8" l="1"/>
  <c r="R53" i="8" s="1"/>
  <c r="P53" i="8"/>
  <c r="E48" i="8"/>
  <c r="R48" i="8" s="1"/>
  <c r="P48" i="8"/>
  <c r="E72" i="8"/>
  <c r="R72" i="8" s="1"/>
  <c r="P72" i="8"/>
  <c r="E74" i="8"/>
  <c r="R74" i="8" s="1"/>
  <c r="P74" i="8"/>
  <c r="E15" i="8"/>
  <c r="R15" i="8" s="1"/>
  <c r="P15" i="8"/>
  <c r="E35" i="8"/>
  <c r="R35" i="8" s="1"/>
  <c r="P35" i="8"/>
  <c r="E64" i="8"/>
  <c r="R64" i="8" s="1"/>
  <c r="P64" i="8"/>
  <c r="E46" i="8"/>
  <c r="R46" i="8" s="1"/>
  <c r="P46" i="8"/>
  <c r="E58" i="8"/>
  <c r="R58" i="8" s="1"/>
  <c r="P58" i="8"/>
  <c r="E13" i="8"/>
  <c r="R13" i="8" s="1"/>
  <c r="P13" i="8"/>
  <c r="E55" i="8"/>
  <c r="R55" i="8" s="1"/>
  <c r="P55" i="8"/>
  <c r="E47" i="8"/>
  <c r="R47" i="8" s="1"/>
  <c r="P47" i="8"/>
  <c r="E44" i="8"/>
  <c r="R44" i="8" s="1"/>
  <c r="P44" i="8"/>
  <c r="E38" i="8"/>
  <c r="R38" i="8" s="1"/>
  <c r="P38" i="8"/>
  <c r="E83" i="8"/>
  <c r="R83" i="8" s="1"/>
  <c r="P83" i="8"/>
  <c r="E77" i="8"/>
  <c r="R77" i="8" s="1"/>
  <c r="P77" i="8"/>
  <c r="E36" i="8"/>
  <c r="R36" i="8" s="1"/>
  <c r="P36" i="8"/>
  <c r="E11" i="8"/>
  <c r="R11" i="8" s="1"/>
  <c r="S11" i="8" s="1"/>
  <c r="P11" i="8"/>
  <c r="P12" i="8" s="1"/>
  <c r="E41" i="8"/>
  <c r="R41" i="8" s="1"/>
  <c r="P41" i="8"/>
  <c r="E61" i="8"/>
  <c r="R61" i="8" s="1"/>
  <c r="P61" i="8"/>
  <c r="E18" i="8"/>
  <c r="R18" i="8" s="1"/>
  <c r="P18" i="8"/>
  <c r="E14" i="8"/>
  <c r="R14" i="8" s="1"/>
  <c r="P14" i="8"/>
  <c r="E67" i="8"/>
  <c r="R67" i="8" s="1"/>
  <c r="P67" i="8"/>
  <c r="E73" i="8"/>
  <c r="R73" i="8" s="1"/>
  <c r="S73" i="8" s="1"/>
  <c r="P73" i="8"/>
  <c r="E43" i="8"/>
  <c r="R43" i="8" s="1"/>
  <c r="P43" i="8"/>
  <c r="E21" i="8"/>
  <c r="R21" i="8" s="1"/>
  <c r="P21" i="8"/>
  <c r="E52" i="8"/>
  <c r="R52" i="8" s="1"/>
  <c r="P52" i="8"/>
  <c r="E76" i="8"/>
  <c r="R76" i="8" s="1"/>
  <c r="P76" i="8"/>
  <c r="E19" i="8"/>
  <c r="R19" i="8" s="1"/>
  <c r="P19" i="8"/>
  <c r="E22" i="8"/>
  <c r="R22" i="8" s="1"/>
  <c r="S22" i="8" s="1"/>
  <c r="P22" i="8"/>
  <c r="E50" i="8"/>
  <c r="R50" i="8" s="1"/>
  <c r="P50" i="8"/>
  <c r="E68" i="8"/>
  <c r="R68" i="8" s="1"/>
  <c r="P68" i="8"/>
  <c r="E28" i="8"/>
  <c r="R28" i="8" s="1"/>
  <c r="P28" i="8"/>
  <c r="E16" i="8"/>
  <c r="R16" i="8" s="1"/>
  <c r="P16" i="8"/>
  <c r="E66" i="8"/>
  <c r="R66" i="8" s="1"/>
  <c r="S66" i="8" s="1"/>
  <c r="P66" i="8"/>
  <c r="E26" i="8"/>
  <c r="R26" i="8" s="1"/>
  <c r="S26" i="8" s="1"/>
  <c r="P26" i="8"/>
  <c r="E78" i="8"/>
  <c r="R78" i="8" s="1"/>
  <c r="P78" i="8"/>
  <c r="E30" i="8"/>
  <c r="R30" i="8" s="1"/>
  <c r="P30" i="8"/>
  <c r="E54" i="8"/>
  <c r="R54" i="8" s="1"/>
  <c r="P54" i="8"/>
  <c r="E27" i="8"/>
  <c r="R27" i="8" s="1"/>
  <c r="P27" i="8"/>
  <c r="E75" i="8"/>
  <c r="R75" i="8" s="1"/>
  <c r="P75" i="8"/>
  <c r="E31" i="8"/>
  <c r="R31" i="8" s="1"/>
  <c r="S31" i="8" s="1"/>
  <c r="P31" i="8"/>
  <c r="E79" i="8"/>
  <c r="R79" i="8" s="1"/>
  <c r="P79" i="8"/>
  <c r="E85" i="8"/>
  <c r="R85" i="8" s="1"/>
  <c r="P85" i="8"/>
  <c r="E29" i="8"/>
  <c r="R29" i="8" s="1"/>
  <c r="P29" i="8"/>
  <c r="E86" i="8"/>
  <c r="R86" i="8" s="1"/>
  <c r="P86" i="8"/>
  <c r="E25" i="8"/>
  <c r="R25" i="8" s="1"/>
  <c r="P25" i="8"/>
  <c r="P34" i="8" s="1"/>
  <c r="E9" i="8"/>
  <c r="P23" i="8" l="1"/>
  <c r="S44" i="8"/>
  <c r="S86" i="8"/>
  <c r="S13" i="8"/>
  <c r="S25" i="8"/>
  <c r="S58" i="8"/>
  <c r="S36" i="8"/>
  <c r="S67" i="8"/>
  <c r="S64" i="8"/>
  <c r="S47" i="8"/>
  <c r="S35" i="8"/>
  <c r="S55" i="8"/>
  <c r="S15" i="8"/>
  <c r="S14" i="8"/>
  <c r="S77" i="8"/>
  <c r="S19" i="8"/>
  <c r="S74" i="8"/>
  <c r="S52" i="8"/>
  <c r="S18" i="8"/>
  <c r="S83" i="8"/>
  <c r="S72" i="8"/>
  <c r="S16" i="8"/>
  <c r="S29" i="8"/>
  <c r="S21" i="8"/>
  <c r="S61" i="8"/>
  <c r="S38" i="8"/>
  <c r="S85" i="8"/>
  <c r="S46" i="8"/>
  <c r="S48" i="8"/>
  <c r="S27" i="8"/>
  <c r="S54" i="8"/>
  <c r="S30" i="8"/>
  <c r="S78" i="8"/>
  <c r="S50" i="8"/>
  <c r="S43" i="8"/>
  <c r="S41" i="8"/>
  <c r="S75" i="8"/>
  <c r="S76" i="8"/>
  <c r="S28" i="8"/>
  <c r="S68" i="8"/>
  <c r="S79" i="8"/>
  <c r="S53" i="8"/>
  <c r="E87" i="8"/>
  <c r="R34" i="8"/>
  <c r="S34" i="8" s="1"/>
  <c r="P87" i="8"/>
  <c r="R87" i="8"/>
  <c r="P20" i="8"/>
  <c r="P24" i="8" s="1"/>
  <c r="R20" i="8"/>
  <c r="E34" i="8"/>
  <c r="R23" i="8"/>
  <c r="E23" i="8"/>
  <c r="E12" i="8"/>
  <c r="R9" i="8"/>
  <c r="S9" i="8" s="1"/>
  <c r="E20" i="8"/>
  <c r="S87" i="8" l="1"/>
  <c r="S20" i="8"/>
  <c r="R12" i="8"/>
  <c r="S12" i="8" s="1"/>
  <c r="R24" i="8"/>
  <c r="S24" i="8" s="1"/>
  <c r="S23" i="8"/>
  <c r="E24" i="8"/>
  <c r="E88" i="8" s="1"/>
  <c r="E89" i="8" s="1"/>
  <c r="P88" i="8"/>
  <c r="P89" i="8" s="1"/>
  <c r="R88" i="8" l="1"/>
  <c r="R89" i="8"/>
  <c r="S89" i="8" s="1"/>
  <c r="S88" i="8"/>
  <c r="Z94" i="8" l="1"/>
  <c r="X97" i="8" l="1"/>
  <c r="C23" i="8"/>
  <c r="X92" i="8"/>
  <c r="X95" i="8"/>
  <c r="C34" i="8"/>
  <c r="C87" i="8"/>
  <c r="C12" i="8"/>
  <c r="X91" i="8"/>
  <c r="C20" i="8" l="1"/>
  <c r="X98" i="8"/>
  <c r="B12" i="8"/>
  <c r="B23" i="8"/>
  <c r="B34" i="8"/>
  <c r="X99" i="8" l="1"/>
  <c r="X100" i="8" s="1"/>
  <c r="C24" i="8"/>
  <c r="B20" i="8"/>
  <c r="B24" i="8" s="1"/>
  <c r="B88" i="8" s="1"/>
  <c r="B89" i="8" s="1"/>
  <c r="C88" i="8" l="1"/>
  <c r="C89" i="8" l="1"/>
  <c r="X101" i="8" l="1"/>
  <c r="J24" i="10" l="1"/>
  <c r="J28" i="10" s="1"/>
  <c r="K17" i="10"/>
  <c r="K24" i="10" s="1"/>
  <c r="J36" i="10"/>
  <c r="K29" i="10"/>
  <c r="K36" i="10" s="1"/>
  <c r="J95" i="10" l="1"/>
  <c r="Q36" i="10"/>
  <c r="P27" i="10"/>
  <c r="P28" i="10" s="1"/>
  <c r="J157" i="9" l="1"/>
  <c r="J96" i="10"/>
  <c r="P95" i="10"/>
  <c r="AK24" i="10" l="1"/>
  <c r="AL17" i="10"/>
  <c r="AL24" i="10" s="1"/>
  <c r="AR24" i="10" s="1"/>
  <c r="AK36" i="10" l="1"/>
  <c r="AL29" i="10"/>
  <c r="AL36" i="10" s="1"/>
  <c r="AR36" i="10" s="1"/>
  <c r="AK27" i="10"/>
  <c r="AK28" i="10" s="1"/>
  <c r="AN25" i="10"/>
  <c r="AN27" i="10" l="1"/>
  <c r="B27" i="10" l="1"/>
  <c r="B28" i="10" s="1"/>
  <c r="B50" i="10" l="1"/>
  <c r="B51" i="9"/>
  <c r="C27" i="10" l="1"/>
  <c r="C28" i="10" s="1"/>
  <c r="E25" i="10"/>
  <c r="E27" i="10" s="1"/>
  <c r="E28" i="10" s="1"/>
  <c r="E37" i="10"/>
  <c r="E50" i="10" s="1"/>
  <c r="F36" i="14"/>
  <c r="D49" i="9"/>
  <c r="C51" i="9"/>
  <c r="C52" i="9" s="1"/>
  <c r="B52" i="9"/>
  <c r="K37" i="10" l="1"/>
  <c r="K50" i="10" s="1"/>
  <c r="H36" i="14"/>
  <c r="I36" i="14"/>
  <c r="K36" i="14" s="1"/>
  <c r="D51" i="9"/>
  <c r="D52" i="9" s="1"/>
  <c r="F21" i="14"/>
  <c r="N37" i="10" l="1"/>
  <c r="N50" i="10" s="1"/>
  <c r="L36" i="14"/>
  <c r="N36" i="14" s="1"/>
  <c r="H21" i="14"/>
  <c r="H23" i="14" s="1"/>
  <c r="H24" i="14" s="1"/>
  <c r="F23" i="14"/>
  <c r="F24" i="14" s="1"/>
  <c r="H25" i="10"/>
  <c r="H27" i="10" s="1"/>
  <c r="I21" i="14"/>
  <c r="E51" i="9"/>
  <c r="E52" i="9" s="1"/>
  <c r="H28" i="10" l="1"/>
  <c r="Q37" i="10"/>
  <c r="Q50" i="10" s="1"/>
  <c r="F96" i="10"/>
  <c r="O36" i="14"/>
  <c r="Q36" i="14" s="1"/>
  <c r="K25" i="10"/>
  <c r="K27" i="10" s="1"/>
  <c r="I27" i="10"/>
  <c r="I28" i="10" s="1"/>
  <c r="K21" i="14"/>
  <c r="K23" i="14" s="1"/>
  <c r="K24" i="14" s="1"/>
  <c r="I23" i="14"/>
  <c r="I24" i="14" s="1"/>
  <c r="G49" i="9"/>
  <c r="F51" i="9"/>
  <c r="F52" i="9" s="1"/>
  <c r="L21" i="14"/>
  <c r="AE24" i="14"/>
  <c r="H49" i="9" l="1"/>
  <c r="R25" i="10" s="1"/>
  <c r="O25" i="10"/>
  <c r="O27" i="10"/>
  <c r="K28" i="10"/>
  <c r="I86" i="9"/>
  <c r="J86" i="9" s="1"/>
  <c r="R36" i="14"/>
  <c r="L27" i="10"/>
  <c r="L28" i="10" s="1"/>
  <c r="N25" i="10"/>
  <c r="O21" i="14"/>
  <c r="G51" i="9"/>
  <c r="L23" i="14"/>
  <c r="L24" i="14" s="1"/>
  <c r="N21" i="14"/>
  <c r="N23" i="14" s="1"/>
  <c r="N24" i="14" s="1"/>
  <c r="K86" i="9" l="1"/>
  <c r="AA37" i="10" s="1"/>
  <c r="R159" i="9"/>
  <c r="Q25" i="10"/>
  <c r="T25" i="10"/>
  <c r="T27" i="10" s="1"/>
  <c r="R27" i="10"/>
  <c r="R28" i="10" s="1"/>
  <c r="W37" i="10"/>
  <c r="W50" i="10" s="1"/>
  <c r="G52" i="9"/>
  <c r="Q27" i="10"/>
  <c r="N27" i="10"/>
  <c r="T36" i="14"/>
  <c r="AA36" i="14"/>
  <c r="AC36" i="14" s="1"/>
  <c r="AD36" i="14" s="1"/>
  <c r="Q21" i="14"/>
  <c r="Q23" i="14" s="1"/>
  <c r="Q24" i="14" s="1"/>
  <c r="O23" i="14"/>
  <c r="O24" i="14" s="1"/>
  <c r="I49" i="9"/>
  <c r="U25" i="10" s="1"/>
  <c r="U27" i="10" s="1"/>
  <c r="U28" i="10" s="1"/>
  <c r="R21" i="14"/>
  <c r="T21" i="14" s="1"/>
  <c r="T23" i="14" s="1"/>
  <c r="T24" i="14" s="1"/>
  <c r="H51" i="9"/>
  <c r="AC37" i="10" l="1"/>
  <c r="AC50" i="10" s="1"/>
  <c r="AA50" i="10"/>
  <c r="Q28" i="10"/>
  <c r="O28" i="10"/>
  <c r="C147" i="9"/>
  <c r="J49" i="9"/>
  <c r="W25" i="10"/>
  <c r="W27" i="10" s="1"/>
  <c r="I51" i="9"/>
  <c r="I52" i="9" s="1"/>
  <c r="H52" i="9"/>
  <c r="H165" i="9" s="1"/>
  <c r="R23" i="14"/>
  <c r="AA21" i="14"/>
  <c r="AF24" i="14"/>
  <c r="B147" i="9"/>
  <c r="X25" i="10" l="1"/>
  <c r="C148" i="9"/>
  <c r="C149" i="9" s="1"/>
  <c r="W28" i="10"/>
  <c r="C94" i="10"/>
  <c r="C95" i="10" s="1"/>
  <c r="C115" i="10" s="1"/>
  <c r="E51" i="10"/>
  <c r="E85" i="10" s="1"/>
  <c r="B85" i="10"/>
  <c r="B94" i="10" s="1"/>
  <c r="B95" i="10" s="1"/>
  <c r="L86" i="9"/>
  <c r="I94" i="10"/>
  <c r="I95" i="10" s="1"/>
  <c r="F35" i="14"/>
  <c r="D147" i="9"/>
  <c r="AA23" i="14"/>
  <c r="AA24" i="14" s="1"/>
  <c r="AC21" i="14"/>
  <c r="R24" i="14"/>
  <c r="K49" i="9"/>
  <c r="AA25" i="10" s="1"/>
  <c r="J51" i="9"/>
  <c r="J52" i="9" s="1"/>
  <c r="M86" i="9" l="1"/>
  <c r="AD37" i="10"/>
  <c r="X27" i="10"/>
  <c r="E94" i="10"/>
  <c r="C156" i="9"/>
  <c r="C150" i="9"/>
  <c r="C153" i="9" s="1"/>
  <c r="B84" i="9"/>
  <c r="AD50" i="10"/>
  <c r="E157" i="9"/>
  <c r="I157" i="9"/>
  <c r="C157" i="9"/>
  <c r="I96" i="10"/>
  <c r="C96" i="10"/>
  <c r="D148" i="9"/>
  <c r="B96" i="10"/>
  <c r="H35" i="14"/>
  <c r="H87" i="14" s="1"/>
  <c r="F87" i="14"/>
  <c r="F88" i="14" s="1"/>
  <c r="F89" i="14" s="1"/>
  <c r="I35" i="14"/>
  <c r="E148" i="9"/>
  <c r="L49" i="9"/>
  <c r="AD25" i="10" s="1"/>
  <c r="K51" i="9"/>
  <c r="AC23" i="14"/>
  <c r="AD21" i="14"/>
  <c r="AG37" i="10" l="1"/>
  <c r="AF37" i="10"/>
  <c r="AF50" i="10" s="1"/>
  <c r="D156" i="9"/>
  <c r="E156" i="9" s="1"/>
  <c r="D160" i="9"/>
  <c r="E95" i="10"/>
  <c r="D149" i="9"/>
  <c r="D150" i="9"/>
  <c r="AE87" i="14"/>
  <c r="H88" i="14"/>
  <c r="K51" i="10"/>
  <c r="K85" i="10" s="1"/>
  <c r="N86" i="9"/>
  <c r="E149" i="9"/>
  <c r="K35" i="14"/>
  <c r="K87" i="14" s="1"/>
  <c r="K88" i="14" s="1"/>
  <c r="K89" i="14" s="1"/>
  <c r="I87" i="14"/>
  <c r="I88" i="14" s="1"/>
  <c r="L35" i="14"/>
  <c r="K52" i="9"/>
  <c r="AC24" i="14"/>
  <c r="AD23" i="14"/>
  <c r="AC25" i="10"/>
  <c r="AC27" i="10" s="1"/>
  <c r="AA27" i="10"/>
  <c r="AA28" i="10" s="1"/>
  <c r="M49" i="9"/>
  <c r="AG25" i="10" s="1"/>
  <c r="L51" i="9"/>
  <c r="L52" i="9" s="1"/>
  <c r="AJ37" i="10" l="1"/>
  <c r="AJ50" i="10" s="1"/>
  <c r="E96" i="10"/>
  <c r="D153" i="9"/>
  <c r="E150" i="9"/>
  <c r="E153" i="9" s="1"/>
  <c r="AC28" i="10"/>
  <c r="O35" i="14"/>
  <c r="AE88" i="14"/>
  <c r="H89" i="14"/>
  <c r="AE89" i="14" s="1"/>
  <c r="O86" i="9"/>
  <c r="N35" i="14"/>
  <c r="I89" i="14"/>
  <c r="Z25" i="10"/>
  <c r="Z27" i="10" s="1"/>
  <c r="AD27" i="10"/>
  <c r="AD28" i="10" s="1"/>
  <c r="AF25" i="10"/>
  <c r="AD24" i="14"/>
  <c r="N49" i="9"/>
  <c r="AJ25" i="10" s="1"/>
  <c r="AM25" i="10" s="1"/>
  <c r="M51" i="9"/>
  <c r="M52" i="9" s="1"/>
  <c r="AM37" i="10" l="1"/>
  <c r="AM50" i="10" s="1"/>
  <c r="K94" i="10"/>
  <c r="AI37" i="10"/>
  <c r="AI50" i="10" s="1"/>
  <c r="AG50" i="10"/>
  <c r="AL37" i="10"/>
  <c r="AF27" i="10"/>
  <c r="Z28" i="10"/>
  <c r="Q35" i="14"/>
  <c r="I85" i="9"/>
  <c r="R35" i="14"/>
  <c r="Q51" i="10"/>
  <c r="AG27" i="10"/>
  <c r="AG28" i="10" s="1"/>
  <c r="AI25" i="10"/>
  <c r="AI27" i="10" s="1"/>
  <c r="N51" i="9"/>
  <c r="O49" i="9"/>
  <c r="K95" i="10" l="1"/>
  <c r="K157" i="9" s="1"/>
  <c r="T35" i="14"/>
  <c r="J85" i="9"/>
  <c r="R158" i="9" s="1"/>
  <c r="AA35" i="14"/>
  <c r="X28" i="10"/>
  <c r="N52" i="9"/>
  <c r="O51" i="9"/>
  <c r="AJ27" i="10"/>
  <c r="AJ28" i="10" s="1"/>
  <c r="AL25" i="10"/>
  <c r="AL27" i="10" s="1"/>
  <c r="AR27" i="10" l="1"/>
  <c r="AL28" i="10"/>
  <c r="AR28" i="10" s="1"/>
  <c r="K96" i="10"/>
  <c r="AC35" i="14"/>
  <c r="W51" i="10"/>
  <c r="K85" i="9"/>
  <c r="AA51" i="10" s="1"/>
  <c r="O52" i="9"/>
  <c r="AM27" i="10"/>
  <c r="AO25" i="10"/>
  <c r="Z51" i="10" l="1"/>
  <c r="AD35" i="14"/>
  <c r="L85" i="9"/>
  <c r="AM28" i="10"/>
  <c r="AO27" i="10"/>
  <c r="AP25" i="10"/>
  <c r="M85" i="9" l="1"/>
  <c r="AG51" i="10" s="1"/>
  <c r="AK39" i="10" s="1"/>
  <c r="AD51" i="10"/>
  <c r="AF51" i="10" s="1"/>
  <c r="AC51" i="10"/>
  <c r="AP27" i="10"/>
  <c r="AL39" i="10" l="1"/>
  <c r="AN39" i="10"/>
  <c r="AO39" i="10" s="1"/>
  <c r="AP39" i="10" s="1"/>
  <c r="AK40" i="10"/>
  <c r="N85" i="9"/>
  <c r="AL40" i="10" l="1"/>
  <c r="AN40" i="10"/>
  <c r="AO40" i="10" s="1"/>
  <c r="AP40" i="10" s="1"/>
  <c r="AJ51" i="10"/>
  <c r="AJ85" i="10" s="1"/>
  <c r="AK50" i="10"/>
  <c r="AK94" i="10" s="1"/>
  <c r="AK95" i="10" s="1"/>
  <c r="AK96" i="10" s="1"/>
  <c r="AL50" i="10"/>
  <c r="AR50" i="10" s="1"/>
  <c r="AI51" i="10"/>
  <c r="O85" i="9"/>
  <c r="AM51" i="10" l="1"/>
  <c r="AL51" i="10"/>
  <c r="B148" i="9" l="1"/>
  <c r="B157" i="9" l="1"/>
  <c r="B171" i="9"/>
  <c r="B155" i="9"/>
  <c r="L165" i="9"/>
  <c r="B149" i="9"/>
  <c r="O96" i="9"/>
  <c r="L46" i="14"/>
  <c r="N46" i="14" l="1"/>
  <c r="AA46" i="14"/>
  <c r="AC46" i="14" l="1"/>
  <c r="AD46" i="14" l="1"/>
  <c r="G94" i="10" l="1"/>
  <c r="H51" i="10"/>
  <c r="H85" i="10" s="1"/>
  <c r="H94" i="10" l="1"/>
  <c r="G95" i="10"/>
  <c r="G157" i="9" l="1"/>
  <c r="G96" i="10"/>
  <c r="H95" i="10" l="1"/>
  <c r="AN37" i="10"/>
  <c r="AN50" i="10" s="1"/>
  <c r="H157" i="9" l="1"/>
  <c r="H96" i="10"/>
  <c r="AO37" i="10"/>
  <c r="AO50" i="10" s="1"/>
  <c r="AP37" i="10" l="1"/>
  <c r="AP50" i="10" l="1"/>
  <c r="S28" i="10" l="1"/>
  <c r="S95" i="10" s="1"/>
  <c r="T17" i="10"/>
  <c r="T24" i="10" s="1"/>
  <c r="T28" i="10" l="1"/>
  <c r="S96" i="10"/>
  <c r="AF77" i="10" l="1"/>
  <c r="AC77" i="10"/>
  <c r="O137" i="9" l="1"/>
  <c r="AL77" i="10"/>
  <c r="AI77" i="10"/>
  <c r="AI58" i="10"/>
  <c r="AO77" i="10" l="1"/>
  <c r="AP77" i="10" s="1"/>
  <c r="AL58" i="10"/>
  <c r="AG85" i="10" l="1"/>
  <c r="AG94" i="10" s="1"/>
  <c r="AI81" i="10"/>
  <c r="AI85" i="10" s="1"/>
  <c r="AI94" i="10" l="1"/>
  <c r="AL81" i="10"/>
  <c r="AL85" i="10" s="1"/>
  <c r="AR85" i="10" s="1"/>
  <c r="AJ94" i="10"/>
  <c r="AJ95" i="10" s="1"/>
  <c r="AJ96" i="10" s="1"/>
  <c r="AG95" i="10"/>
  <c r="AL94" i="10" l="1"/>
  <c r="AR94" i="10" s="1"/>
  <c r="AG96" i="10"/>
  <c r="AL95" i="10" l="1"/>
  <c r="AR95" i="10" s="1"/>
  <c r="AL96" i="10" l="1"/>
  <c r="O162" i="9"/>
  <c r="G152" i="9" l="1"/>
  <c r="I152" i="9" l="1"/>
  <c r="H152" i="9"/>
  <c r="J152" i="9"/>
  <c r="K152" i="9" l="1"/>
  <c r="M24" i="10" l="1"/>
  <c r="M28" i="10" s="1"/>
  <c r="N17" i="10"/>
  <c r="N24" i="10" s="1"/>
  <c r="N28" i="10" l="1"/>
  <c r="M36" i="10" l="1"/>
  <c r="N29" i="10"/>
  <c r="N36" i="10" s="1"/>
  <c r="AN51" i="10" l="1"/>
  <c r="M94" i="10"/>
  <c r="M95" i="10" s="1"/>
  <c r="N51" i="10"/>
  <c r="AO51" i="10" l="1"/>
  <c r="AN85" i="10"/>
  <c r="AN94" i="10" s="1"/>
  <c r="M157" i="9"/>
  <c r="M96" i="10"/>
  <c r="AP51" i="10"/>
  <c r="P10" i="10" l="1"/>
  <c r="P6" i="10"/>
  <c r="AN6" i="10" s="1"/>
  <c r="AO6" i="10" s="1"/>
  <c r="P11" i="10"/>
  <c r="P14" i="10" l="1"/>
  <c r="AN11" i="10"/>
  <c r="AO11" i="10" s="1"/>
  <c r="AP11" i="10" s="1"/>
  <c r="Q11" i="10"/>
  <c r="AN10" i="10"/>
  <c r="AO10" i="10" s="1"/>
  <c r="Q10" i="10"/>
  <c r="P13" i="10"/>
  <c r="P16" i="10" s="1"/>
  <c r="P96" i="10" s="1"/>
  <c r="Q6" i="10"/>
  <c r="AP10" i="10" l="1"/>
  <c r="Q13" i="10"/>
  <c r="AN13" i="10"/>
  <c r="AO13" i="10" s="1"/>
  <c r="AP13" i="10" s="1"/>
  <c r="Q14" i="10"/>
  <c r="AN14" i="10"/>
  <c r="AO14" i="10" s="1"/>
  <c r="AP14" i="10" s="1"/>
  <c r="AO16" i="10" l="1"/>
  <c r="Q16" i="10"/>
  <c r="AN16" i="10"/>
  <c r="AP6" i="10"/>
  <c r="AP16" i="10" l="1"/>
  <c r="AE17" i="10" l="1"/>
  <c r="AE24" i="10" l="1"/>
  <c r="AE28" i="10" s="1"/>
  <c r="AE95" i="10" s="1"/>
  <c r="AF17" i="10"/>
  <c r="AF24" i="10" s="1"/>
  <c r="AE96" i="10" l="1"/>
  <c r="AF28" i="10"/>
  <c r="F143" i="9" l="1"/>
  <c r="L81" i="10" l="1"/>
  <c r="L84" i="14"/>
  <c r="F98" i="9"/>
  <c r="E160" i="9"/>
  <c r="G143" i="9"/>
  <c r="O81" i="10" l="1"/>
  <c r="Q81" i="10" s="1"/>
  <c r="O84" i="14"/>
  <c r="Q84" i="14" s="1"/>
  <c r="L58" i="10"/>
  <c r="L48" i="14"/>
  <c r="F147" i="9"/>
  <c r="F148" i="9" s="1"/>
  <c r="N84" i="14"/>
  <c r="N81" i="10"/>
  <c r="G98" i="9"/>
  <c r="H143" i="9"/>
  <c r="L85" i="10" l="1"/>
  <c r="L94" i="10" s="1"/>
  <c r="L95" i="10" s="1"/>
  <c r="N58" i="10"/>
  <c r="N85" i="10" s="1"/>
  <c r="N94" i="10" s="1"/>
  <c r="N95" i="10" s="1"/>
  <c r="R81" i="10"/>
  <c r="R84" i="14"/>
  <c r="O58" i="10"/>
  <c r="G147" i="9"/>
  <c r="G148" i="9" s="1"/>
  <c r="G149" i="9" s="1"/>
  <c r="O48" i="14"/>
  <c r="F150" i="9"/>
  <c r="F156" i="9"/>
  <c r="F149" i="9"/>
  <c r="N48" i="14"/>
  <c r="N87" i="14" s="1"/>
  <c r="N88" i="14" s="1"/>
  <c r="N89" i="14" s="1"/>
  <c r="L87" i="14"/>
  <c r="L88" i="14" s="1"/>
  <c r="G173" i="9"/>
  <c r="H163" i="9" l="1"/>
  <c r="H98" i="9"/>
  <c r="F153" i="9"/>
  <c r="G150" i="9"/>
  <c r="Q48" i="14"/>
  <c r="Q87" i="14" s="1"/>
  <c r="O87" i="14"/>
  <c r="O88" i="14" s="1"/>
  <c r="Q58" i="10"/>
  <c r="Q85" i="10" s="1"/>
  <c r="Q94" i="10" s="1"/>
  <c r="Q95" i="10" s="1"/>
  <c r="Q96" i="10" s="1"/>
  <c r="O85" i="10"/>
  <c r="O94" i="10" s="1"/>
  <c r="O95" i="10" s="1"/>
  <c r="T81" i="10"/>
  <c r="G156" i="9"/>
  <c r="J177" i="9"/>
  <c r="N157" i="9"/>
  <c r="N96" i="10"/>
  <c r="L89" i="14"/>
  <c r="T84" i="14"/>
  <c r="AA84" i="14"/>
  <c r="AC84" i="14" s="1"/>
  <c r="AD84" i="14" s="1"/>
  <c r="L157" i="9"/>
  <c r="F157" i="9"/>
  <c r="L96" i="10"/>
  <c r="L143" i="9"/>
  <c r="K143" i="9"/>
  <c r="AA81" i="10" s="1"/>
  <c r="AC81" i="10" s="1"/>
  <c r="J143" i="9"/>
  <c r="I143" i="9"/>
  <c r="H166" i="9"/>
  <c r="H167" i="9" s="1"/>
  <c r="O96" i="10" l="1"/>
  <c r="O99" i="10"/>
  <c r="L98" i="9"/>
  <c r="K98" i="9"/>
  <c r="J98" i="9"/>
  <c r="I98" i="9"/>
  <c r="AD81" i="10"/>
  <c r="AF81" i="10" s="1"/>
  <c r="O89" i="14"/>
  <c r="P91" i="14"/>
  <c r="R58" i="10"/>
  <c r="H147" i="9"/>
  <c r="H148" i="9" s="1"/>
  <c r="H150" i="9" s="1"/>
  <c r="R48" i="14"/>
  <c r="U81" i="10"/>
  <c r="O143" i="9"/>
  <c r="AF88" i="14"/>
  <c r="Q88" i="14"/>
  <c r="Q89" i="14" s="1"/>
  <c r="AB93" i="14" s="1"/>
  <c r="G153" i="9"/>
  <c r="I159" i="9"/>
  <c r="H153" i="9" l="1"/>
  <c r="H164" i="9"/>
  <c r="R90" i="14"/>
  <c r="H149" i="9"/>
  <c r="R160" i="9"/>
  <c r="J147" i="9"/>
  <c r="J148" i="9" s="1"/>
  <c r="AA58" i="10"/>
  <c r="K147" i="9"/>
  <c r="K148" i="9" s="1"/>
  <c r="K149" i="9" s="1"/>
  <c r="X81" i="10"/>
  <c r="Z81" i="10" s="1"/>
  <c r="W81" i="10"/>
  <c r="T48" i="14"/>
  <c r="T87" i="14" s="1"/>
  <c r="T88" i="14" s="1"/>
  <c r="T89" i="14" s="1"/>
  <c r="R87" i="14"/>
  <c r="R88" i="14" s="1"/>
  <c r="AA48" i="14"/>
  <c r="T58" i="10"/>
  <c r="T85" i="10" s="1"/>
  <c r="T94" i="10" s="1"/>
  <c r="T95" i="10" s="1"/>
  <c r="R85" i="10"/>
  <c r="R94" i="10" s="1"/>
  <c r="R95" i="10" s="1"/>
  <c r="R99" i="10" s="1"/>
  <c r="H156" i="9"/>
  <c r="U58" i="10"/>
  <c r="I147" i="9"/>
  <c r="I148" i="9" s="1"/>
  <c r="AD58" i="10"/>
  <c r="L147" i="9"/>
  <c r="L148" i="9" s="1"/>
  <c r="L149" i="9" l="1"/>
  <c r="AM81" i="10"/>
  <c r="AO81" i="10" s="1"/>
  <c r="AP81" i="10" s="1"/>
  <c r="I156" i="9"/>
  <c r="J156" i="9" s="1"/>
  <c r="K156" i="9" s="1"/>
  <c r="L156" i="9" s="1"/>
  <c r="R96" i="10"/>
  <c r="AC58" i="10"/>
  <c r="AC85" i="10" s="1"/>
  <c r="AC94" i="10" s="1"/>
  <c r="AC95" i="10" s="1"/>
  <c r="AC96" i="10" s="1"/>
  <c r="AA85" i="10"/>
  <c r="AA94" i="10" s="1"/>
  <c r="AA95" i="10" s="1"/>
  <c r="R89" i="14"/>
  <c r="AB92" i="14"/>
  <c r="R92" i="14"/>
  <c r="N147" i="9"/>
  <c r="M147" i="9"/>
  <c r="T96" i="10"/>
  <c r="AC48" i="14"/>
  <c r="AA87" i="14"/>
  <c r="AA88" i="14" s="1"/>
  <c r="AA89" i="14" s="1"/>
  <c r="J149" i="9"/>
  <c r="AF58" i="10"/>
  <c r="AF85" i="10" s="1"/>
  <c r="AD85" i="10"/>
  <c r="AD94" i="10" s="1"/>
  <c r="AD95" i="10" s="1"/>
  <c r="I160" i="9"/>
  <c r="I149" i="9"/>
  <c r="I150" i="9"/>
  <c r="I153" i="9" s="1"/>
  <c r="W58" i="10"/>
  <c r="W85" i="10" s="1"/>
  <c r="W94" i="10" s="1"/>
  <c r="W95" i="10" s="1"/>
  <c r="W96" i="10" s="1"/>
  <c r="X58" i="10"/>
  <c r="U85" i="10"/>
  <c r="U94" i="10" s="1"/>
  <c r="U95" i="10" s="1"/>
  <c r="L167" i="9"/>
  <c r="L168" i="9" s="1"/>
  <c r="U96" i="10" l="1"/>
  <c r="U99" i="10"/>
  <c r="N148" i="9"/>
  <c r="M148" i="9"/>
  <c r="O163" i="9" s="1"/>
  <c r="O164" i="9" s="1"/>
  <c r="P164" i="9"/>
  <c r="P166" i="9" s="1"/>
  <c r="O98" i="9"/>
  <c r="O147" i="9" s="1"/>
  <c r="O148" i="9" s="1"/>
  <c r="O149" i="9" s="1"/>
  <c r="J150" i="9"/>
  <c r="K150" i="9" s="1"/>
  <c r="AD96" i="10"/>
  <c r="J153" i="9"/>
  <c r="M163" i="9"/>
  <c r="M149" i="9"/>
  <c r="AF94" i="10"/>
  <c r="AD48" i="14"/>
  <c r="AC87" i="14"/>
  <c r="N164" i="9"/>
  <c r="N165" i="9" s="1"/>
  <c r="O155" i="9"/>
  <c r="N149" i="9"/>
  <c r="AA96" i="10"/>
  <c r="X85" i="10"/>
  <c r="X94" i="10" s="1"/>
  <c r="X95" i="10" s="1"/>
  <c r="X96" i="10" s="1"/>
  <c r="Z58" i="10"/>
  <c r="Z85" i="10" s="1"/>
  <c r="Z94" i="10" s="1"/>
  <c r="Z95" i="10" s="1"/>
  <c r="AM58" i="10"/>
  <c r="U101" i="10"/>
  <c r="M156" i="9" l="1"/>
  <c r="N156" i="9" s="1"/>
  <c r="N158" i="9" s="1"/>
  <c r="K177" i="9"/>
  <c r="L177" i="9" s="1"/>
  <c r="L166" i="9"/>
  <c r="AL99" i="10"/>
  <c r="AL101" i="10" s="1"/>
  <c r="AM99" i="10"/>
  <c r="M177" i="9"/>
  <c r="AM85" i="10"/>
  <c r="AM94" i="10" s="1"/>
  <c r="AM95" i="10" s="1"/>
  <c r="AO58" i="10"/>
  <c r="AD87" i="14"/>
  <c r="AC88" i="14"/>
  <c r="AF95" i="10"/>
  <c r="Z96" i="10"/>
  <c r="L150" i="9"/>
  <c r="K153" i="9"/>
  <c r="L153" i="9" l="1"/>
  <c r="M150" i="9"/>
  <c r="N150" i="9" s="1"/>
  <c r="N151" i="9" s="1"/>
  <c r="AC89" i="14"/>
  <c r="AD88" i="14"/>
  <c r="AF96" i="10"/>
  <c r="AP58" i="10"/>
  <c r="AO85" i="10"/>
  <c r="AM100" i="10"/>
  <c r="AM96" i="10"/>
  <c r="AP85" i="10" l="1"/>
  <c r="AO94" i="10"/>
  <c r="AI101" i="14"/>
  <c r="AD89" i="14"/>
  <c r="M151" i="9"/>
  <c r="N152" i="9"/>
  <c r="N153" i="9" s="1"/>
  <c r="AP94" i="10" l="1"/>
  <c r="AH17" i="10" l="1"/>
  <c r="AH29" i="10"/>
  <c r="AH36" i="10" l="1"/>
  <c r="AI29" i="10"/>
  <c r="AI36" i="10" s="1"/>
  <c r="AN29" i="10"/>
  <c r="AI17" i="10"/>
  <c r="AI24" i="10" s="1"/>
  <c r="AH24" i="10"/>
  <c r="AH28" i="10" s="1"/>
  <c r="AH95" i="10" s="1"/>
  <c r="AN99" i="10" s="1"/>
  <c r="AN17" i="10"/>
  <c r="AN36" i="10" l="1"/>
  <c r="AO29" i="10"/>
  <c r="AH96" i="10"/>
  <c r="M158" i="9"/>
  <c r="M159" i="9" s="1"/>
  <c r="M160" i="9" s="1"/>
  <c r="AI28" i="10"/>
  <c r="AO17" i="10"/>
  <c r="AN24" i="10"/>
  <c r="AN28" i="10" s="1"/>
  <c r="AN95" i="10" s="1"/>
  <c r="AN96" i="10" s="1"/>
  <c r="AO36" i="10" l="1"/>
  <c r="AP36" i="10" s="1"/>
  <c r="AP29" i="10"/>
  <c r="AO24" i="10"/>
  <c r="AP17" i="10"/>
  <c r="J178" i="9"/>
  <c r="J179" i="9" s="1"/>
  <c r="AN100" i="10"/>
  <c r="AI95" i="10"/>
  <c r="AO99" i="10" s="1"/>
  <c r="AI96" i="10" l="1"/>
  <c r="AO28" i="10"/>
  <c r="AP24" i="10"/>
  <c r="AP28" i="10" l="1"/>
  <c r="AO95" i="10"/>
  <c r="AO100" i="10" l="1"/>
  <c r="AP95" i="10"/>
  <c r="AO96" i="10"/>
  <c r="AP96" i="10" s="1"/>
</calcChain>
</file>

<file path=xl/sharedStrings.xml><?xml version="1.0" encoding="utf-8"?>
<sst xmlns="http://schemas.openxmlformats.org/spreadsheetml/2006/main" count="523" uniqueCount="215">
  <si>
    <t xml:space="preserve">Deficit </t>
  </si>
  <si>
    <t>Costos de Funcionamiento Operativos AA</t>
  </si>
  <si>
    <t>Total Ingresos</t>
  </si>
  <si>
    <t>Diciembre</t>
  </si>
  <si>
    <t>Noviembre</t>
  </si>
  <si>
    <t>Julio</t>
  </si>
  <si>
    <t>Junio</t>
  </si>
  <si>
    <t>Disposición final</t>
  </si>
  <si>
    <t>Distribuccion Ac</t>
  </si>
  <si>
    <t>Potabilizacion Ac</t>
  </si>
  <si>
    <t>Captacion Ac</t>
  </si>
  <si>
    <t>Comercial Ac</t>
  </si>
  <si>
    <t>Generales/Administracion  Ac</t>
  </si>
  <si>
    <t>Subtotal Acueducto</t>
  </si>
  <si>
    <t>Recoleccion y transporte Alc</t>
  </si>
  <si>
    <t>Subtotal Alcantarillado</t>
  </si>
  <si>
    <t>Barrido vias</t>
  </si>
  <si>
    <t>Recolección y Transporte</t>
  </si>
  <si>
    <t>Servicios software INTEGRIN</t>
  </si>
  <si>
    <t>Arrendamiento oficina administrativa</t>
  </si>
  <si>
    <t>Suministro, recarga y mantenimiento de extintores de agua y polvo químico para las áreas operativas, administrativas y vehículos de la empresa</t>
  </si>
  <si>
    <t>Dotación de papelería y facturación</t>
  </si>
  <si>
    <t>Dotación de cafetería</t>
  </si>
  <si>
    <t>Fletes Marítimos y Terrestres</t>
  </si>
  <si>
    <t>Servicios personales de asesoría regulatoria, estudio de costos y tarifas</t>
  </si>
  <si>
    <t>Servicios personales - Seguridad y salud en el trabajo</t>
  </si>
  <si>
    <t>Servicios personales Comunicadora social</t>
  </si>
  <si>
    <t>Seguros y pólizas</t>
  </si>
  <si>
    <t>Almacenamiento virtual (nube)</t>
  </si>
  <si>
    <t>Arrendamiento contenedor</t>
  </si>
  <si>
    <t>celebración día del trabajo</t>
  </si>
  <si>
    <t>Servicios de vigilancia privada</t>
  </si>
  <si>
    <t>Mantenimiento y pintura de sede administrativa</t>
  </si>
  <si>
    <t>Suministros de alimentación, refrigerios e hidratación</t>
  </si>
  <si>
    <t>Otros gastos logísticos</t>
  </si>
  <si>
    <t xml:space="preserve">Personal Alc </t>
  </si>
  <si>
    <t>Personal Ac</t>
  </si>
  <si>
    <t>Servicios personales de outsourcing - asesoría contable y tributaria</t>
  </si>
  <si>
    <t>Revisoria fiscal 2SMLMV</t>
  </si>
  <si>
    <t>Agente Especial</t>
  </si>
  <si>
    <t>Enero</t>
  </si>
  <si>
    <t>Febrero</t>
  </si>
  <si>
    <t>Marzo</t>
  </si>
  <si>
    <t>Abril</t>
  </si>
  <si>
    <t>Mayo</t>
  </si>
  <si>
    <t>Agosto</t>
  </si>
  <si>
    <t>Sept</t>
  </si>
  <si>
    <t>Oct</t>
  </si>
  <si>
    <t>Acumulado</t>
  </si>
  <si>
    <t>Participacion %</t>
  </si>
  <si>
    <t>Concepto</t>
  </si>
  <si>
    <t xml:space="preserve">PROVIDENCE AND KETTLINA UTILITIES COMPANY SAS.            NIT.901352888-1                                                                    </t>
  </si>
  <si>
    <t>Costos de Funcionamiento Operativos Aseo</t>
  </si>
  <si>
    <t>Total Gastos Comerciales y de Administracion</t>
  </si>
  <si>
    <t>Nomina Administracion</t>
  </si>
  <si>
    <t>Nomina comercial</t>
  </si>
  <si>
    <t>Impuesto Industria y comercio 7X1000 Ingresos</t>
  </si>
  <si>
    <t xml:space="preserve">Generales/Administracion  </t>
  </si>
  <si>
    <t xml:space="preserve">Personal </t>
  </si>
  <si>
    <t xml:space="preserve"> </t>
  </si>
  <si>
    <t>Audiltor Interno</t>
  </si>
  <si>
    <t>Señalética</t>
  </si>
  <si>
    <t>Total Costos de Funcionamiento AAA</t>
  </si>
  <si>
    <t>Año 2023</t>
  </si>
  <si>
    <t>PRESUPUESTO DE FUNCIONAMIENTO AÑO 2023</t>
  </si>
  <si>
    <t>Dotación de uniformes para el personal, elementos de proteccion y bioseguridad  (pantalon , camisa, zapatos, impermeables, pantaneras, chalecos reflectivos)</t>
  </si>
  <si>
    <t>Aseo y Limpieza</t>
  </si>
  <si>
    <t xml:space="preserve">Otros gastos administrativos </t>
  </si>
  <si>
    <t xml:space="preserve">Gastos de viaje </t>
  </si>
  <si>
    <t>Capacitacion y bienestar social</t>
  </si>
  <si>
    <t xml:space="preserve">Alquiler de mulas y vehículos de transporte </t>
  </si>
  <si>
    <t xml:space="preserve">Licenciamiento software </t>
  </si>
  <si>
    <t>Servicios publicos (energia, telefono, aseo)</t>
  </si>
  <si>
    <t>Suscripción y afiliaciones</t>
  </si>
  <si>
    <t>Asesoria en contratacion</t>
  </si>
  <si>
    <t>Asesoria y argue sui</t>
  </si>
  <si>
    <t>Implementacion gestión documental</t>
  </si>
  <si>
    <t>Revison y acuañizacionmanuales corporativos y normograma</t>
  </si>
  <si>
    <t>Gastos legales: Cámara de comercio, notariales</t>
  </si>
  <si>
    <t>Actualizacion regulatoria</t>
  </si>
  <si>
    <t>Diseñador grafico actualizacion manual de identidad corporativa</t>
  </si>
  <si>
    <t>Profesional Financiero</t>
  </si>
  <si>
    <t>Psicologo</t>
  </si>
  <si>
    <t>Gastos de representacion</t>
  </si>
  <si>
    <t>Pagina WEB-Dominio actualizacion software</t>
  </si>
  <si>
    <t>Gastos bancarios</t>
  </si>
  <si>
    <t>Gravamen a los movimientos financieros</t>
  </si>
  <si>
    <t>Industria y comercio</t>
  </si>
  <si>
    <t>Contribuciones CRA</t>
  </si>
  <si>
    <t>Compra activos Equipo de computo (hardwaare, software), mobiliario oficina</t>
  </si>
  <si>
    <t>Compra Buldozer</t>
  </si>
  <si>
    <t>Compra barrido mecanico</t>
  </si>
  <si>
    <t>Plan de medios</t>
  </si>
  <si>
    <t>Recaudos</t>
  </si>
  <si>
    <t>Cargo fijo acueducto</t>
  </si>
  <si>
    <t>Cargo variable acueducto</t>
  </si>
  <si>
    <t>Ingresos por medidor acueducto</t>
  </si>
  <si>
    <t>Tarifa cargo variable Aseo</t>
  </si>
  <si>
    <t>Mutuo 194:   Planta desalinizadora Agua Dulce - RO 400</t>
  </si>
  <si>
    <t>Ejecucion</t>
  </si>
  <si>
    <t>Variacion</t>
  </si>
  <si>
    <t xml:space="preserve">Recuperacion cartera </t>
  </si>
  <si>
    <t>Presupuesto acumulado</t>
  </si>
  <si>
    <t>Ejecucion acumulada</t>
  </si>
  <si>
    <t>variacion acumulada</t>
  </si>
  <si>
    <t>Ejecucion Enero</t>
  </si>
  <si>
    <t>Ejecutado</t>
  </si>
  <si>
    <t>Ejecucion Febrero</t>
  </si>
  <si>
    <t>Camp-de sensi-y concient PUEAA (inc-materiales)</t>
  </si>
  <si>
    <t>Ejecucion Marzo</t>
  </si>
  <si>
    <t>Gastos legales: Cámara de comercio, notariales, ocre</t>
  </si>
  <si>
    <t>Ejecucion Abril</t>
  </si>
  <si>
    <t>Ejecucion Mayo</t>
  </si>
  <si>
    <t>Ingresos por medidor acueducto/acometidas</t>
  </si>
  <si>
    <t>Ejecucion Junio</t>
  </si>
  <si>
    <t>Ejecucion Julio</t>
  </si>
  <si>
    <t>Ejecucion agosto</t>
  </si>
  <si>
    <t>Ejecucion septiembre</t>
  </si>
  <si>
    <t>Ejecucion octubre</t>
  </si>
  <si>
    <t>Ejecucion noviembre</t>
  </si>
  <si>
    <t>Ejecucion diciembre</t>
  </si>
  <si>
    <t>Ingresos por conexiones nuevas</t>
  </si>
  <si>
    <t>Suspenciones y reconexiones</t>
  </si>
  <si>
    <t>Aseo</t>
  </si>
  <si>
    <t>Contratos Mutuos - Fondo Empresarial</t>
  </si>
  <si>
    <t>Construcción de pequeños tramos de acueducto - Vecinales</t>
  </si>
  <si>
    <t>Accesorios planta</t>
  </si>
  <si>
    <t>Filtros Generador Hipoclorito de Sodio</t>
  </si>
  <si>
    <t>Insumos químicos y reactivos (sal, AHC, polímero)</t>
  </si>
  <si>
    <t>Mantenimiento conectividad tanques</t>
  </si>
  <si>
    <t>Mantenimiento redes</t>
  </si>
  <si>
    <t>Accesorios acueducto</t>
  </si>
  <si>
    <t>Equipos trabajo confinado (rescate, ventilador)</t>
  </si>
  <si>
    <t>Mantenimiento Eléctrico y Mecánico para los sistemas de AAA</t>
  </si>
  <si>
    <t>Servicio público de aseo</t>
  </si>
  <si>
    <t>Combustible</t>
  </si>
  <si>
    <t xml:space="preserve">Elementos y artículos de ferretería, tornillería y jardinería Acu (60,6%)  Alc (1,5%) Aseo (37,9%), </t>
  </si>
  <si>
    <t>Implemento, herramientas y equipos de trabajo para la operación de acu, Alc y aseo  (70%) Acue (25%) Alc (5%)</t>
  </si>
  <si>
    <t>Mantenimiento y pintura de sede, maquinaria</t>
  </si>
  <si>
    <t>Prestación de servicio de maquinaria amarilla para el desarrollo de las actividades requeridas para la disposición de los residuos sólidos de acuerdo con las especificaciones y requerimientos técnicos establecidos por P&amp;K S.A.S E.S.P., en el sitio de disposición final blue Lizard – municipio de providencia y santa catalina islas.</t>
  </si>
  <si>
    <t>Servicio de mantenimiento predictivo, preventivo y correctivo de los vehículos tipo recolector-compactador de residuos sólidos de acuerdo con las especificaciones y requerimientos técnicos establecidos por P&amp;K SAS ESP  – municipio de providencia y santa catalina islas.</t>
  </si>
  <si>
    <t>Prestación de servicios para el servicio de mantenimiento predictivo, preventivo y correctivo de los vehículos tipo moto carro de residuos sólidos de acuerdo con las especificaciones y requerimientos técnicos establecidos por P&amp;K SAS ESP  – municipio de providencia y santa catalina islas.</t>
  </si>
  <si>
    <t>Realizar la compra repuestos para mantenimientos preventivos del vehículo recolector-motocarro de acuerdo con las especificaciones y requerimientos técnicos establecidos por P&amp;K SAS ESP – en el municipio de providencia</t>
  </si>
  <si>
    <t>Prestación de servicios para la recolección y transporte marítimo de residuos sólidos ordinarios generados en la isla de santa catalina y disposición en puerto en la isla de providencia de acuerdo con las especificaciones y requerimientos técnicos establecidos por P&amp;K SAS ESP.</t>
  </si>
  <si>
    <t>Realizar la compra de las llantas para el camión recolector-compactador de acuerdo con las especificaciones y requerimientos técnicos establecidos por P&amp;K SAS ESP - el municipio de providencia</t>
  </si>
  <si>
    <t>Arrendamiento de espacio para ser utilizado como taller, para realizar mantenimiento de vehículos recolectores de acuerdo con las especificaciones y requerimientos técnicos establecidos por PYK SAS ESP - en el municipio de providencia y santa catalina islas (incluye área de bodegaje de materiales/equipos/herramientas).</t>
  </si>
  <si>
    <t>Compra de material térreo para la cobertura de residuos sólidos y el mantenimiento de la vía interna del sitio de disposición final, incluye el transporte y descargue en la zona designada de acuerdo con especificaciones y requerimientos técnicos establecidos por P&amp;K S.A.S E.S.P. – municipio de providencia y santa catalina islas.</t>
  </si>
  <si>
    <t>Comprar bolsas plásticas de color negro y blanco para el servicio de aseo de acuerdo con especificaciones y requerimientos técnicos establecidos por P&amp;K S.A.S E.S.P., para las actividades de barrido, limpieza de áreas públicas y limpieza de playas en el municipio de providencia y santa catalina islas.</t>
  </si>
  <si>
    <t>Compra de filtros para el camión compacto recolector – compactador según las especificaciones técnicas.</t>
  </si>
  <si>
    <t>Para la prestación del servicio de seguridad privada para la protección, el monitoreo y la seguridad de las instalaciones, infraestructura y bienes del sitio de disposición final “BLUE LIZARD” de acuerdo con las especificaciones técnicas dadas por P&amp;K S.A.S E.S.P – municipio de providencia y santa catalina islas (no incluye arma).</t>
  </si>
  <si>
    <t>Contratar el servicio de instalación, reposición y/o mantenimiento de cámaras de seguridad dentro del sitio de disposición final blue Lizard mediante cámaras de seguridad fijas de cableado.</t>
  </si>
  <si>
    <t>Mantenimiento, compra e instalación de reflectores y tendido eléctrico para mantener las condiciones de iluminación en el relleno sanitario blue Lizard, municipio de providencia y santa catalina islas (incluye instalación, de acuerdo con las especificaciones y requerimientos técnicos establecidos por P&amp;K SAS ESP.</t>
  </si>
  <si>
    <t>Prestación de servicios de fumigación para realizar el control de vectores y plagas dentro de las instalaciones del sitio de disposición final “BLUE LIZARD” de acuerdo con las especificaciones y requerimientos técnicos establecidos por P&amp;K S.A.S E.S.P., en el municipio de providencia y santa catalina islas.</t>
  </si>
  <si>
    <t>Contratar el servicio de toma de fotografías y videos del sitio de disposición final mediante vuelos fotogramétricos con DRON.</t>
  </si>
  <si>
    <t>Contratar el servicio de monitoreo geotécnico con topografía.</t>
  </si>
  <si>
    <t>Contribuciones CRA-SUPER</t>
  </si>
  <si>
    <t>Transporte Agua potable</t>
  </si>
  <si>
    <t>Reforestacion</t>
  </si>
  <si>
    <t>CRETIB</t>
  </si>
  <si>
    <t>Limpieza de cuencas</t>
  </si>
  <si>
    <t>Permiso de vertimiento (alcantarillado)</t>
  </si>
  <si>
    <t>Permiso de concesión de agua</t>
  </si>
  <si>
    <t>Vertimiento Acueducto, Tasa Retributiva</t>
  </si>
  <si>
    <t>Vertimientos Alcantarillado, Tasa retributivas</t>
  </si>
  <si>
    <t>Sanción Coralina ( Vertimiento Santa Catalina) y ( Relleno Sanitario)</t>
  </si>
  <si>
    <t>Otras compras y servicios</t>
  </si>
  <si>
    <t>Adquisición y /o reposición de equipos de seguridad y vigilancia (suministro, instalación, servicios)</t>
  </si>
  <si>
    <t>Dotación de cafetería, agua en botellon, hielo</t>
  </si>
  <si>
    <t>Capacitacion y bienestar social, botiquin</t>
  </si>
  <si>
    <t>Gastos comerciales</t>
  </si>
  <si>
    <t>Contraloria, Ocre</t>
  </si>
  <si>
    <t>Gastos de Administracion</t>
  </si>
  <si>
    <t>Gastos ambientales</t>
  </si>
  <si>
    <t>Total Gastos Comerciales, administracion y ambientales</t>
  </si>
  <si>
    <t>Suspenciones y reconexiones y otros</t>
  </si>
  <si>
    <t>Recuperacion de cartera</t>
  </si>
  <si>
    <t xml:space="preserve">Servicio público </t>
  </si>
  <si>
    <t>Subsidios</t>
  </si>
  <si>
    <t>Contrato laboratorio (AAA) corregir distribucion</t>
  </si>
  <si>
    <t>Estudios compuerta Embalse Fresh Water Bay</t>
  </si>
  <si>
    <t>Captacion Ac/revisar mayo</t>
  </si>
  <si>
    <t>Sanción Coralina ( Vertimiento Santa Catalina) y ( Relleno Sanitario)/PMU</t>
  </si>
  <si>
    <t>Ejec</t>
  </si>
  <si>
    <t>PP pequeños tramos</t>
  </si>
  <si>
    <t>Articulos proteccion</t>
  </si>
  <si>
    <t>Vigilancia</t>
  </si>
  <si>
    <t>Compra Maq</t>
  </si>
  <si>
    <t>Psicologo-Bateria riesgo psicosocial</t>
  </si>
  <si>
    <t>Año 2025</t>
  </si>
  <si>
    <t>Acueducto</t>
  </si>
  <si>
    <t>Alcantarillado</t>
  </si>
  <si>
    <t>Conexión</t>
  </si>
  <si>
    <t>Adecuaciones Ptap</t>
  </si>
  <si>
    <t>Material terreo</t>
  </si>
  <si>
    <t>Plan de sostenibilidad. Venta agua embotellada</t>
  </si>
  <si>
    <r>
      <t>Contrato obras civiles (</t>
    </r>
    <r>
      <rPr>
        <b/>
        <sz val="9"/>
        <rFont val="Calibri Light"/>
        <family val="2"/>
        <scheme val="major"/>
      </rPr>
      <t>2025</t>
    </r>
    <r>
      <rPr>
        <sz val="9"/>
        <rFont val="Calibri Light"/>
        <family val="2"/>
        <scheme val="major"/>
      </rPr>
      <t>)</t>
    </r>
  </si>
  <si>
    <t>Mantenimiento electromecanico</t>
  </si>
  <si>
    <t>Compra de activador biologico</t>
  </si>
  <si>
    <t>Deficit</t>
  </si>
  <si>
    <t>Ppto</t>
  </si>
  <si>
    <t>Telemetria</t>
  </si>
  <si>
    <t>Deficit 2024</t>
  </si>
  <si>
    <t>Mantenimiento generador hipoclorito, energia</t>
  </si>
  <si>
    <t>Licenciamiento software /Pagina web</t>
  </si>
  <si>
    <t>PRESUPUESTO DE FUNCIONAMIENTO AÑO 2025</t>
  </si>
  <si>
    <t xml:space="preserve">Mantenimiento veh, </t>
  </si>
  <si>
    <t>Alquiler maq amarilla</t>
  </si>
  <si>
    <t>Tte</t>
  </si>
  <si>
    <t>Combustibles y lubricantes</t>
  </si>
  <si>
    <t>Mtto electromecanico</t>
  </si>
  <si>
    <t>Mtto generador de hipoclorito</t>
  </si>
  <si>
    <t>Laboratorio</t>
  </si>
  <si>
    <t>Dif</t>
  </si>
  <si>
    <t>Obra civil</t>
  </si>
  <si>
    <t>Servcios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</si>
</sst>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  <numFmt numFmtId="165" formatCode="0.000"/>
    <numFmt numFmtId="166" formatCode="_-&quot;$&quot;\ * #,##0.00_-;\-&quot;$&quot;\ * #,##0.00_-;_-&quot;$&quot;\ * &quot;-&quot;_-;_-@_-"/>
    <numFmt numFmtId="167" formatCode="_-* #,##0.000_-;\-* #,##0.000_-;_-* &quot;-&quot;??_-;_-@_-"/>
    <numFmt numFmtId="168" formatCode="_-* #,##0.0000_-;\-* #,##0.0000_-;_-* &quot;-&quot;??_-;_-@_-"/>
    <numFmt numFmtId="169" formatCode="_-* #,##0.000_-;\-* #,##0.000_-;_-* &quot;-&quot;???_-;_-@_-"/>
    <numFmt numFmtId="170" formatCode="_-&quot;$&quot;\ * #,##0_-;\-&quot;$&quot;\ * #,##0_-;_-&quot;$&quot;\ * &quot;-&quot;??_-;_-@_-"/>
    <numFmt numFmtId="171" formatCode="[$-101240A]#,##0.00;\-#,##0.00"/>
    <numFmt numFmtId="172" formatCode="#,##0.00_ ;\-#,##0.0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ndara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9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Arial"/>
      <family val="2"/>
    </font>
    <font>
      <sz val="8"/>
      <color theme="1"/>
      <name val="Calibri"/>
      <family val="2"/>
      <scheme val="minor"/>
    </font>
    <font>
      <sz val="8"/>
      <color indexed="8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CCC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6">
    <xf numFmtId="0" fontId="0" fillId="0" borderId="0" xfId="0"/>
    <xf numFmtId="0" fontId="4" fillId="0" borderId="0" xfId="0" applyFont="1"/>
    <xf numFmtId="164" fontId="0" fillId="0" borderId="0" xfId="0" applyNumberFormat="1"/>
    <xf numFmtId="42" fontId="0" fillId="0" borderId="0" xfId="0" applyNumberFormat="1"/>
    <xf numFmtId="164" fontId="6" fillId="0" borderId="2" xfId="1" applyNumberFormat="1" applyFont="1" applyFill="1" applyBorder="1"/>
    <xf numFmtId="0" fontId="0" fillId="0" borderId="6" xfId="0" applyBorder="1"/>
    <xf numFmtId="164" fontId="6" fillId="0" borderId="2" xfId="0" applyNumberFormat="1" applyFont="1" applyBorder="1"/>
    <xf numFmtId="164" fontId="2" fillId="2" borderId="2" xfId="0" applyNumberFormat="1" applyFont="1" applyFill="1" applyBorder="1"/>
    <xf numFmtId="164" fontId="2" fillId="2" borderId="2" xfId="1" applyNumberFormat="1" applyFont="1" applyFill="1" applyBorder="1"/>
    <xf numFmtId="164" fontId="2" fillId="2" borderId="9" xfId="0" applyNumberFormat="1" applyFont="1" applyFill="1" applyBorder="1"/>
    <xf numFmtId="164" fontId="9" fillId="0" borderId="2" xfId="1" applyNumberFormat="1" applyFont="1" applyFill="1" applyBorder="1"/>
    <xf numFmtId="0" fontId="3" fillId="2" borderId="6" xfId="0" applyFont="1" applyFill="1" applyBorder="1"/>
    <xf numFmtId="0" fontId="2" fillId="2" borderId="6" xfId="0" applyFont="1" applyFill="1" applyBorder="1"/>
    <xf numFmtId="0" fontId="3" fillId="2" borderId="8" xfId="0" applyFont="1" applyFill="1" applyBorder="1" applyAlignment="1">
      <alignment horizontal="left" vertical="center"/>
    </xf>
    <xf numFmtId="43" fontId="8" fillId="0" borderId="0" xfId="3" applyFont="1" applyBorder="1" applyAlignment="1">
      <alignment horizontal="left"/>
    </xf>
    <xf numFmtId="164" fontId="2" fillId="2" borderId="2" xfId="1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justify" vertical="center" wrapText="1"/>
    </xf>
    <xf numFmtId="0" fontId="0" fillId="0" borderId="0" xfId="0" applyAlignment="1">
      <alignment vertical="center"/>
    </xf>
    <xf numFmtId="164" fontId="0" fillId="0" borderId="0" xfId="1" applyNumberFormat="1" applyFont="1"/>
    <xf numFmtId="0" fontId="0" fillId="0" borderId="6" xfId="0" applyBorder="1" applyAlignment="1">
      <alignment horizontal="justify" wrapText="1"/>
    </xf>
    <xf numFmtId="164" fontId="0" fillId="0" borderId="6" xfId="1" applyNumberFormat="1" applyFont="1" applyFill="1" applyBorder="1"/>
    <xf numFmtId="0" fontId="2" fillId="0" borderId="0" xfId="0" applyFont="1" applyAlignment="1">
      <alignment horizontal="center"/>
    </xf>
    <xf numFmtId="43" fontId="0" fillId="0" borderId="0" xfId="0" applyNumberFormat="1"/>
    <xf numFmtId="0" fontId="2" fillId="0" borderId="1" xfId="0" applyFont="1" applyBorder="1" applyAlignment="1">
      <alignment horizontal="center"/>
    </xf>
    <xf numFmtId="0" fontId="6" fillId="0" borderId="6" xfId="0" applyFont="1" applyBorder="1"/>
    <xf numFmtId="3" fontId="0" fillId="0" borderId="0" xfId="0" applyNumberFormat="1"/>
    <xf numFmtId="0" fontId="2" fillId="2" borderId="4" xfId="0" applyFont="1" applyFill="1" applyBorder="1" applyAlignment="1">
      <alignment horizontal="center" vertical="center" wrapText="1"/>
    </xf>
    <xf numFmtId="0" fontId="6" fillId="0" borderId="7" xfId="4" applyNumberFormat="1" applyFont="1" applyFill="1" applyBorder="1"/>
    <xf numFmtId="165" fontId="6" fillId="0" borderId="7" xfId="4" applyNumberFormat="1" applyFont="1" applyFill="1" applyBorder="1"/>
    <xf numFmtId="10" fontId="2" fillId="2" borderId="7" xfId="4" applyNumberFormat="1" applyFont="1" applyFill="1" applyBorder="1"/>
    <xf numFmtId="10" fontId="2" fillId="2" borderId="10" xfId="4" applyNumberFormat="1" applyFont="1" applyFill="1" applyBorder="1"/>
    <xf numFmtId="0" fontId="2" fillId="0" borderId="0" xfId="0" applyFont="1" applyAlignment="1">
      <alignment horizontal="justify" vertical="center" wrapText="1"/>
    </xf>
    <xf numFmtId="43" fontId="2" fillId="0" borderId="0" xfId="0" applyNumberFormat="1" applyFont="1"/>
    <xf numFmtId="164" fontId="2" fillId="0" borderId="0" xfId="0" applyNumberFormat="1" applyFont="1"/>
    <xf numFmtId="43" fontId="9" fillId="0" borderId="0" xfId="0" applyNumberFormat="1" applyFont="1"/>
    <xf numFmtId="164" fontId="0" fillId="0" borderId="0" xfId="1" applyNumberFormat="1" applyFont="1" applyFill="1"/>
    <xf numFmtId="43" fontId="6" fillId="0" borderId="0" xfId="0" applyNumberFormat="1" applyFont="1"/>
    <xf numFmtId="164" fontId="2" fillId="0" borderId="0" xfId="1" applyNumberFormat="1" applyFont="1" applyFill="1" applyBorder="1"/>
    <xf numFmtId="164" fontId="2" fillId="0" borderId="0" xfId="1" applyNumberFormat="1" applyFont="1" applyFill="1" applyBorder="1" applyAlignment="1">
      <alignment vertical="center"/>
    </xf>
    <xf numFmtId="164" fontId="5" fillId="0" borderId="0" xfId="0" applyNumberFormat="1" applyFont="1"/>
    <xf numFmtId="166" fontId="0" fillId="0" borderId="0" xfId="0" applyNumberFormat="1"/>
    <xf numFmtId="43" fontId="6" fillId="0" borderId="7" xfId="4" applyNumberFormat="1" applyFont="1" applyFill="1" applyBorder="1"/>
    <xf numFmtId="0" fontId="2" fillId="0" borderId="1" xfId="0" applyFont="1" applyBorder="1" applyAlignment="1">
      <alignment horizontal="center" vertical="center"/>
    </xf>
    <xf numFmtId="43" fontId="2" fillId="0" borderId="0" xfId="1" applyFont="1" applyFill="1" applyBorder="1"/>
    <xf numFmtId="164" fontId="6" fillId="4" borderId="2" xfId="1" applyNumberFormat="1" applyFont="1" applyFill="1" applyBorder="1"/>
    <xf numFmtId="10" fontId="0" fillId="0" borderId="0" xfId="0" applyNumberFormat="1"/>
    <xf numFmtId="164" fontId="2" fillId="0" borderId="2" xfId="1" applyNumberFormat="1" applyFont="1" applyFill="1" applyBorder="1"/>
    <xf numFmtId="167" fontId="2" fillId="0" borderId="0" xfId="0" applyNumberFormat="1" applyFont="1"/>
    <xf numFmtId="167" fontId="0" fillId="0" borderId="0" xfId="0" applyNumberFormat="1"/>
    <xf numFmtId="164" fontId="6" fillId="5" borderId="2" xfId="1" applyNumberFormat="1" applyFont="1" applyFill="1" applyBorder="1"/>
    <xf numFmtId="164" fontId="0" fillId="0" borderId="0" xfId="1" applyNumberFormat="1" applyFont="1" applyAlignment="1">
      <alignment horizontal="left" wrapText="1"/>
    </xf>
    <xf numFmtId="168" fontId="0" fillId="0" borderId="0" xfId="0" applyNumberFormat="1"/>
    <xf numFmtId="0" fontId="11" fillId="0" borderId="14" xfId="0" applyFont="1" applyBorder="1" applyAlignment="1">
      <alignment horizontal="justify" vertical="center" wrapText="1"/>
    </xf>
    <xf numFmtId="0" fontId="2" fillId="0" borderId="6" xfId="0" applyFont="1" applyBorder="1"/>
    <xf numFmtId="0" fontId="11" fillId="7" borderId="14" xfId="0" applyFont="1" applyFill="1" applyBorder="1" applyAlignment="1">
      <alignment horizontal="left" vertical="center" wrapText="1"/>
    </xf>
    <xf numFmtId="0" fontId="11" fillId="6" borderId="14" xfId="0" applyFont="1" applyFill="1" applyBorder="1" applyAlignment="1">
      <alignment horizontal="left" vertical="center" wrapText="1"/>
    </xf>
    <xf numFmtId="0" fontId="11" fillId="8" borderId="14" xfId="0" applyFont="1" applyFill="1" applyBorder="1" applyAlignment="1">
      <alignment horizontal="justify" vertical="center" wrapText="1"/>
    </xf>
    <xf numFmtId="0" fontId="13" fillId="0" borderId="14" xfId="0" applyFont="1" applyBorder="1" applyAlignment="1">
      <alignment wrapText="1"/>
    </xf>
    <xf numFmtId="0" fontId="11" fillId="3" borderId="14" xfId="0" applyFont="1" applyFill="1" applyBorder="1" applyAlignment="1">
      <alignment horizontal="justify" vertical="center" wrapText="1"/>
    </xf>
    <xf numFmtId="3" fontId="13" fillId="0" borderId="14" xfId="11" applyNumberFormat="1" applyFont="1" applyBorder="1" applyAlignment="1">
      <alignment vertical="center"/>
    </xf>
    <xf numFmtId="3" fontId="14" fillId="0" borderId="14" xfId="0" applyNumberFormat="1" applyFont="1" applyBorder="1" applyAlignment="1">
      <alignment vertical="center"/>
    </xf>
    <xf numFmtId="0" fontId="11" fillId="7" borderId="0" xfId="0" applyFont="1" applyFill="1" applyAlignment="1">
      <alignment horizontal="left" vertical="center" wrapText="1"/>
    </xf>
    <xf numFmtId="0" fontId="0" fillId="9" borderId="6" xfId="0" applyFill="1" applyBorder="1"/>
    <xf numFmtId="3" fontId="13" fillId="0" borderId="14" xfId="10" applyNumberFormat="1" applyFont="1" applyBorder="1" applyAlignment="1">
      <alignment vertical="center"/>
    </xf>
    <xf numFmtId="3" fontId="13" fillId="0" borderId="14" xfId="10" applyNumberFormat="1" applyFont="1" applyFill="1" applyBorder="1" applyAlignment="1">
      <alignment vertical="center"/>
    </xf>
    <xf numFmtId="3" fontId="14" fillId="0" borderId="14" xfId="10" applyNumberFormat="1" applyFont="1" applyBorder="1" applyAlignment="1">
      <alignment vertical="center"/>
    </xf>
    <xf numFmtId="3" fontId="14" fillId="0" borderId="14" xfId="10" applyNumberFormat="1" applyFont="1" applyBorder="1"/>
    <xf numFmtId="43" fontId="0" fillId="0" borderId="0" xfId="1" applyFont="1"/>
    <xf numFmtId="43" fontId="0" fillId="0" borderId="0" xfId="1" applyFont="1" applyAlignment="1">
      <alignment vertical="center"/>
    </xf>
    <xf numFmtId="0" fontId="15" fillId="0" borderId="6" xfId="0" applyFont="1" applyBorder="1"/>
    <xf numFmtId="0" fontId="15" fillId="0" borderId="6" xfId="0" applyFont="1" applyBorder="1" applyAlignment="1">
      <alignment horizontal="justify" wrapText="1"/>
    </xf>
    <xf numFmtId="0" fontId="0" fillId="9" borderId="6" xfId="0" applyFill="1" applyBorder="1" applyAlignment="1">
      <alignment horizontal="justify" wrapText="1"/>
    </xf>
    <xf numFmtId="10" fontId="4" fillId="0" borderId="0" xfId="1" applyNumberFormat="1" applyFont="1"/>
    <xf numFmtId="3" fontId="14" fillId="0" borderId="14" xfId="10" applyNumberFormat="1" applyFont="1" applyFill="1" applyBorder="1" applyAlignment="1">
      <alignment vertical="center"/>
    </xf>
    <xf numFmtId="164" fontId="6" fillId="11" borderId="2" xfId="1" applyNumberFormat="1" applyFont="1" applyFill="1" applyBorder="1"/>
    <xf numFmtId="0" fontId="16" fillId="2" borderId="5" xfId="0" applyFont="1" applyFill="1" applyBorder="1" applyAlignment="1">
      <alignment horizontal="justify" vertical="center" wrapText="1"/>
    </xf>
    <xf numFmtId="164" fontId="1" fillId="0" borderId="2" xfId="1" applyNumberFormat="1" applyFont="1" applyFill="1" applyBorder="1"/>
    <xf numFmtId="3" fontId="14" fillId="0" borderId="15" xfId="0" applyNumberFormat="1" applyFont="1" applyBorder="1"/>
    <xf numFmtId="3" fontId="13" fillId="0" borderId="14" xfId="11" applyNumberFormat="1" applyFont="1" applyFill="1" applyBorder="1" applyAlignment="1">
      <alignment vertical="center"/>
    </xf>
    <xf numFmtId="3" fontId="14" fillId="0" borderId="14" xfId="10" applyNumberFormat="1" applyFont="1" applyFill="1" applyBorder="1"/>
    <xf numFmtId="169" fontId="4" fillId="0" borderId="0" xfId="0" applyNumberFormat="1" applyFont="1"/>
    <xf numFmtId="164" fontId="6" fillId="12" borderId="2" xfId="1" applyNumberFormat="1" applyFont="1" applyFill="1" applyBorder="1"/>
    <xf numFmtId="3" fontId="13" fillId="12" borderId="14" xfId="10" applyNumberFormat="1" applyFont="1" applyFill="1" applyBorder="1" applyAlignment="1">
      <alignment vertical="center"/>
    </xf>
    <xf numFmtId="164" fontId="6" fillId="10" borderId="2" xfId="1" applyNumberFormat="1" applyFont="1" applyFill="1" applyBorder="1"/>
    <xf numFmtId="3" fontId="13" fillId="10" borderId="14" xfId="10" applyNumberFormat="1" applyFont="1" applyFill="1" applyBorder="1" applyAlignment="1">
      <alignment vertical="center"/>
    </xf>
    <xf numFmtId="3" fontId="14" fillId="10" borderId="14" xfId="10" applyNumberFormat="1" applyFont="1" applyFill="1" applyBorder="1" applyAlignment="1">
      <alignment vertical="center"/>
    </xf>
    <xf numFmtId="170" fontId="17" fillId="0" borderId="2" xfId="12" applyNumberFormat="1" applyFont="1" applyFill="1" applyBorder="1" applyAlignment="1">
      <alignment horizontal="left" vertical="center" indent="2"/>
    </xf>
    <xf numFmtId="164" fontId="6" fillId="2" borderId="2" xfId="1" applyNumberFormat="1" applyFont="1" applyFill="1" applyBorder="1"/>
    <xf numFmtId="3" fontId="14" fillId="2" borderId="14" xfId="10" applyNumberFormat="1" applyFont="1" applyFill="1" applyBorder="1" applyAlignment="1">
      <alignment vertical="center"/>
    </xf>
    <xf numFmtId="3" fontId="13" fillId="2" borderId="14" xfId="10" applyNumberFormat="1" applyFont="1" applyFill="1" applyBorder="1" applyAlignment="1">
      <alignment vertical="center"/>
    </xf>
    <xf numFmtId="3" fontId="13" fillId="2" borderId="14" xfId="11" applyNumberFormat="1" applyFont="1" applyFill="1" applyBorder="1" applyAlignment="1">
      <alignment vertical="center"/>
    </xf>
    <xf numFmtId="3" fontId="14" fillId="2" borderId="14" xfId="0" applyNumberFormat="1" applyFont="1" applyFill="1" applyBorder="1" applyAlignment="1">
      <alignment vertical="center"/>
    </xf>
    <xf numFmtId="164" fontId="6" fillId="13" borderId="2" xfId="1" applyNumberFormat="1" applyFont="1" applyFill="1" applyBorder="1"/>
    <xf numFmtId="44" fontId="0" fillId="0" borderId="0" xfId="0" applyNumberFormat="1"/>
    <xf numFmtId="164" fontId="18" fillId="0" borderId="0" xfId="0" applyNumberFormat="1" applyFont="1"/>
    <xf numFmtId="164" fontId="18" fillId="0" borderId="0" xfId="1" applyNumberFormat="1" applyFont="1"/>
    <xf numFmtId="164" fontId="18" fillId="12" borderId="0" xfId="0" applyNumberFormat="1" applyFont="1" applyFill="1"/>
    <xf numFmtId="164" fontId="18" fillId="10" borderId="0" xfId="0" applyNumberFormat="1" applyFont="1" applyFill="1"/>
    <xf numFmtId="0" fontId="18" fillId="0" borderId="0" xfId="0" applyFont="1"/>
    <xf numFmtId="164" fontId="18" fillId="0" borderId="0" xfId="1" applyNumberFormat="1" applyFont="1" applyFill="1"/>
    <xf numFmtId="3" fontId="13" fillId="10" borderId="14" xfId="11" applyNumberFormat="1" applyFont="1" applyFill="1" applyBorder="1" applyAlignment="1">
      <alignment vertical="center"/>
    </xf>
    <xf numFmtId="3" fontId="14" fillId="10" borderId="14" xfId="0" applyNumberFormat="1" applyFont="1" applyFill="1" applyBorder="1" applyAlignment="1">
      <alignment vertical="center"/>
    </xf>
    <xf numFmtId="3" fontId="13" fillId="14" borderId="14" xfId="10" applyNumberFormat="1" applyFont="1" applyFill="1" applyBorder="1" applyAlignment="1">
      <alignment vertical="center"/>
    </xf>
    <xf numFmtId="164" fontId="18" fillId="15" borderId="0" xfId="0" applyNumberFormat="1" applyFont="1" applyFill="1"/>
    <xf numFmtId="0" fontId="15" fillId="0" borderId="6" xfId="0" applyFont="1" applyBorder="1" applyAlignment="1">
      <alignment horizontal="left" wrapText="1"/>
    </xf>
    <xf numFmtId="3" fontId="14" fillId="12" borderId="14" xfId="10" applyNumberFormat="1" applyFont="1" applyFill="1" applyBorder="1" applyAlignment="1">
      <alignment vertical="center"/>
    </xf>
    <xf numFmtId="10" fontId="4" fillId="0" borderId="0" xfId="0" applyNumberFormat="1" applyFont="1"/>
    <xf numFmtId="164" fontId="6" fillId="9" borderId="2" xfId="1" applyNumberFormat="1" applyFont="1" applyFill="1" applyBorder="1"/>
    <xf numFmtId="0" fontId="11" fillId="0" borderId="1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justify" vertical="center" wrapText="1"/>
    </xf>
    <xf numFmtId="43" fontId="6" fillId="0" borderId="2" xfId="1" applyFont="1" applyFill="1" applyBorder="1"/>
    <xf numFmtId="164" fontId="2" fillId="0" borderId="0" xfId="0" applyNumberFormat="1" applyFont="1" applyAlignment="1">
      <alignment horizontal="justify" vertical="center" wrapText="1"/>
    </xf>
    <xf numFmtId="164" fontId="0" fillId="0" borderId="0" xfId="0" applyNumberFormat="1" applyAlignment="1">
      <alignment horizontal="center"/>
    </xf>
    <xf numFmtId="44" fontId="11" fillId="17" borderId="14" xfId="10" applyFont="1" applyFill="1" applyBorder="1" applyAlignment="1">
      <alignment vertical="center"/>
    </xf>
    <xf numFmtId="164" fontId="6" fillId="18" borderId="2" xfId="1" applyNumberFormat="1" applyFont="1" applyFill="1" applyBorder="1"/>
    <xf numFmtId="164" fontId="9" fillId="18" borderId="2" xfId="1" applyNumberFormat="1" applyFont="1" applyFill="1" applyBorder="1"/>
    <xf numFmtId="3" fontId="13" fillId="18" borderId="14" xfId="11" applyNumberFormat="1" applyFont="1" applyFill="1" applyBorder="1" applyAlignment="1">
      <alignment vertical="center"/>
    </xf>
    <xf numFmtId="164" fontId="6" fillId="19" borderId="2" xfId="1" applyNumberFormat="1" applyFont="1" applyFill="1" applyBorder="1"/>
    <xf numFmtId="164" fontId="6" fillId="20" borderId="2" xfId="1" applyNumberFormat="1" applyFont="1" applyFill="1" applyBorder="1"/>
    <xf numFmtId="3" fontId="13" fillId="20" borderId="14" xfId="10" applyNumberFormat="1" applyFont="1" applyFill="1" applyBorder="1" applyAlignment="1">
      <alignment vertical="center"/>
    </xf>
    <xf numFmtId="3" fontId="14" fillId="10" borderId="15" xfId="0" applyNumberFormat="1" applyFont="1" applyFill="1" applyBorder="1"/>
    <xf numFmtId="3" fontId="13" fillId="20" borderId="14" xfId="11" applyNumberFormat="1" applyFont="1" applyFill="1" applyBorder="1" applyAlignment="1">
      <alignment vertical="center"/>
    </xf>
    <xf numFmtId="164" fontId="6" fillId="21" borderId="2" xfId="1" applyNumberFormat="1" applyFont="1" applyFill="1" applyBorder="1"/>
    <xf numFmtId="164" fontId="6" fillId="16" borderId="2" xfId="1" applyNumberFormat="1" applyFont="1" applyFill="1" applyBorder="1"/>
    <xf numFmtId="3" fontId="13" fillId="16" borderId="14" xfId="10" applyNumberFormat="1" applyFont="1" applyFill="1" applyBorder="1" applyAlignment="1">
      <alignment vertical="center"/>
    </xf>
    <xf numFmtId="164" fontId="6" fillId="6" borderId="2" xfId="1" applyNumberFormat="1" applyFont="1" applyFill="1" applyBorder="1"/>
    <xf numFmtId="3" fontId="13" fillId="6" borderId="14" xfId="10" applyNumberFormat="1" applyFont="1" applyFill="1" applyBorder="1" applyAlignment="1">
      <alignment vertical="center"/>
    </xf>
    <xf numFmtId="3" fontId="13" fillId="19" borderId="14" xfId="10" applyNumberFormat="1" applyFont="1" applyFill="1" applyBorder="1" applyAlignment="1">
      <alignment vertical="center"/>
    </xf>
    <xf numFmtId="3" fontId="14" fillId="19" borderId="14" xfId="10" applyNumberFormat="1" applyFont="1" applyFill="1" applyBorder="1" applyAlignment="1">
      <alignment vertical="center"/>
    </xf>
    <xf numFmtId="3" fontId="14" fillId="19" borderId="14" xfId="10" applyNumberFormat="1" applyFont="1" applyFill="1" applyBorder="1"/>
    <xf numFmtId="3" fontId="14" fillId="19" borderId="15" xfId="0" applyNumberFormat="1" applyFont="1" applyFill="1" applyBorder="1"/>
    <xf numFmtId="164" fontId="6" fillId="22" borderId="2" xfId="1" applyNumberFormat="1" applyFont="1" applyFill="1" applyBorder="1"/>
    <xf numFmtId="3" fontId="13" fillId="22" borderId="14" xfId="11" applyNumberFormat="1" applyFont="1" applyFill="1" applyBorder="1" applyAlignment="1">
      <alignment vertical="center"/>
    </xf>
    <xf numFmtId="3" fontId="14" fillId="22" borderId="14" xfId="0" applyNumberFormat="1" applyFont="1" applyFill="1" applyBorder="1" applyAlignment="1">
      <alignment vertical="center"/>
    </xf>
    <xf numFmtId="164" fontId="6" fillId="24" borderId="2" xfId="1" applyNumberFormat="1" applyFont="1" applyFill="1" applyBorder="1"/>
    <xf numFmtId="3" fontId="13" fillId="24" borderId="14" xfId="10" applyNumberFormat="1" applyFont="1" applyFill="1" applyBorder="1" applyAlignment="1">
      <alignment vertical="center"/>
    </xf>
    <xf numFmtId="3" fontId="14" fillId="24" borderId="14" xfId="10" applyNumberFormat="1" applyFont="1" applyFill="1" applyBorder="1" applyAlignment="1">
      <alignment vertical="center"/>
    </xf>
    <xf numFmtId="3" fontId="14" fillId="24" borderId="14" xfId="10" applyNumberFormat="1" applyFont="1" applyFill="1" applyBorder="1"/>
    <xf numFmtId="3" fontId="14" fillId="24" borderId="15" xfId="0" applyNumberFormat="1" applyFont="1" applyFill="1" applyBorder="1"/>
    <xf numFmtId="3" fontId="13" fillId="5" borderId="14" xfId="10" applyNumberFormat="1" applyFont="1" applyFill="1" applyBorder="1" applyAlignment="1">
      <alignment vertical="center"/>
    </xf>
    <xf numFmtId="3" fontId="14" fillId="6" borderId="14" xfId="10" applyNumberFormat="1" applyFont="1" applyFill="1" applyBorder="1" applyAlignment="1">
      <alignment vertical="center"/>
    </xf>
    <xf numFmtId="3" fontId="14" fillId="6" borderId="14" xfId="10" applyNumberFormat="1" applyFont="1" applyFill="1" applyBorder="1"/>
    <xf numFmtId="164" fontId="9" fillId="6" borderId="2" xfId="1" applyNumberFormat="1" applyFont="1" applyFill="1" applyBorder="1"/>
    <xf numFmtId="164" fontId="1" fillId="2" borderId="2" xfId="1" applyNumberFormat="1" applyFont="1" applyFill="1" applyBorder="1"/>
    <xf numFmtId="3" fontId="13" fillId="4" borderId="14" xfId="11" applyNumberFormat="1" applyFont="1" applyFill="1" applyBorder="1" applyAlignment="1">
      <alignment vertical="center"/>
    </xf>
    <xf numFmtId="164" fontId="6" fillId="23" borderId="2" xfId="1" applyNumberFormat="1" applyFont="1" applyFill="1" applyBorder="1"/>
    <xf numFmtId="43" fontId="0" fillId="0" borderId="0" xfId="1" applyFont="1" applyFill="1" applyBorder="1"/>
    <xf numFmtId="43" fontId="18" fillId="0" borderId="0" xfId="1" applyFont="1" applyFill="1" applyBorder="1"/>
    <xf numFmtId="171" fontId="19" fillId="0" borderId="0" xfId="0" applyNumberFormat="1" applyFont="1" applyAlignment="1">
      <alignment horizontal="right" vertical="center" wrapText="1" readingOrder="1"/>
    </xf>
    <xf numFmtId="172" fontId="0" fillId="0" borderId="0" xfId="0" applyNumberFormat="1"/>
    <xf numFmtId="164" fontId="6" fillId="25" borderId="2" xfId="1" applyNumberFormat="1" applyFont="1" applyFill="1" applyBorder="1"/>
    <xf numFmtId="3" fontId="13" fillId="25" borderId="14" xfId="10" applyNumberFormat="1" applyFont="1" applyFill="1" applyBorder="1" applyAlignment="1">
      <alignment vertical="center"/>
    </xf>
    <xf numFmtId="3" fontId="14" fillId="25" borderId="14" xfId="10" applyNumberFormat="1" applyFont="1" applyFill="1" applyBorder="1" applyAlignment="1">
      <alignment vertical="center"/>
    </xf>
    <xf numFmtId="164" fontId="18" fillId="18" borderId="0" xfId="0" applyNumberFormat="1" applyFont="1" applyFill="1"/>
    <xf numFmtId="164" fontId="6" fillId="26" borderId="16" xfId="1" applyNumberFormat="1" applyFont="1" applyFill="1" applyBorder="1"/>
    <xf numFmtId="164" fontId="18" fillId="26" borderId="0" xfId="0" applyNumberFormat="1" applyFont="1" applyFill="1"/>
    <xf numFmtId="164" fontId="6" fillId="26" borderId="0" xfId="1" applyNumberFormat="1" applyFont="1" applyFill="1" applyBorder="1"/>
    <xf numFmtId="164" fontId="18" fillId="18" borderId="0" xfId="1" applyNumberFormat="1" applyFont="1" applyFill="1"/>
    <xf numFmtId="164" fontId="16" fillId="18" borderId="0" xfId="1" applyNumberFormat="1" applyFont="1" applyFill="1"/>
    <xf numFmtId="164" fontId="6" fillId="27" borderId="2" xfId="1" applyNumberFormat="1" applyFont="1" applyFill="1" applyBorder="1"/>
    <xf numFmtId="3" fontId="13" fillId="27" borderId="14" xfId="11" applyNumberFormat="1" applyFont="1" applyFill="1" applyBorder="1" applyAlignment="1">
      <alignment vertical="center"/>
    </xf>
    <xf numFmtId="164" fontId="6" fillId="17" borderId="2" xfId="1" applyNumberFormat="1" applyFont="1" applyFill="1" applyBorder="1"/>
    <xf numFmtId="3" fontId="14" fillId="17" borderId="14" xfId="10" applyNumberFormat="1" applyFont="1" applyFill="1" applyBorder="1" applyAlignment="1">
      <alignment vertical="center"/>
    </xf>
    <xf numFmtId="3" fontId="13" fillId="17" borderId="14" xfId="10" applyNumberFormat="1" applyFont="1" applyFill="1" applyBorder="1" applyAlignment="1">
      <alignment vertical="center"/>
    </xf>
    <xf numFmtId="43" fontId="6" fillId="0" borderId="2" xfId="1" applyNumberFormat="1" applyFont="1" applyFill="1" applyBorder="1"/>
    <xf numFmtId="43" fontId="8" fillId="0" borderId="0" xfId="3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64" fontId="18" fillId="0" borderId="0" xfId="1" applyNumberFormat="1" applyFont="1" applyFill="1" applyAlignment="1">
      <alignment horizontal="left" wrapText="1"/>
    </xf>
  </cellXfs>
  <cellStyles count="13">
    <cellStyle name="Millares" xfId="1" builtinId="3"/>
    <cellStyle name="Millares 13" xfId="9" xr:uid="{F192DA75-91B2-469E-A361-3F8EC7C504C8}"/>
    <cellStyle name="Millares 17" xfId="8" xr:uid="{359C2981-905B-4E1E-AF6F-E0D1192CA49F}"/>
    <cellStyle name="Millares 2" xfId="5" xr:uid="{894E9143-984B-4210-B588-400529AC7FA3}"/>
    <cellStyle name="Millares 22" xfId="3" xr:uid="{5F630E82-B661-4D35-A9ED-3F08C2D85B46}"/>
    <cellStyle name="Millares 22 2" xfId="7" xr:uid="{E7BDD168-D8DB-42FB-94DE-F0DA41F99A18}"/>
    <cellStyle name="Moneda" xfId="10" builtinId="4"/>
    <cellStyle name="Moneda [0] 3" xfId="2" xr:uid="{F9B61FBC-3171-4D08-A43B-E17247AC1AD9}"/>
    <cellStyle name="Moneda [0] 3 2" xfId="6" xr:uid="{77E336C7-D0BC-45F9-B0B7-9285AB287D4B}"/>
    <cellStyle name="Moneda 6" xfId="11" xr:uid="{03B01CB7-AD74-4960-9EAE-FEAA26606DD5}"/>
    <cellStyle name="Moneda 7" xfId="12" xr:uid="{E36FC0E2-3A1E-472C-88D8-7DECAD23D7C4}"/>
    <cellStyle name="Normal" xfId="0" builtinId="0"/>
    <cellStyle name="Porcentaje" xfId="4" builtinId="5"/>
  </cellStyles>
  <dxfs count="0"/>
  <tableStyles count="0" defaultTableStyle="TableStyleMedium2" defaultPivotStyle="PivotStyleLight16"/>
  <colors>
    <mruColors>
      <color rgb="FFFFCCCC"/>
      <color rgb="FF66FFFF"/>
      <color rgb="FFFFCCFF"/>
      <color rgb="FFFF99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2.xml"/><Relationship Id="rId21" Type="http://schemas.openxmlformats.org/officeDocument/2006/relationships/externalLink" Target="externalLinks/externalLink17.xml"/><Relationship Id="rId42" Type="http://schemas.microsoft.com/office/2017/10/relationships/person" Target="persons/person9.xml"/><Relationship Id="rId47" Type="http://schemas.microsoft.com/office/2017/10/relationships/person" Target="persons/person5.xml"/><Relationship Id="rId63" Type="http://schemas.microsoft.com/office/2017/10/relationships/person" Target="persons/person0.xml"/><Relationship Id="rId68" Type="http://schemas.microsoft.com/office/2017/10/relationships/person" Target="persons/person33.xml"/><Relationship Id="rId84" Type="http://schemas.microsoft.com/office/2017/10/relationships/person" Target="persons/person45.xml"/><Relationship Id="rId89" Type="http://schemas.microsoft.com/office/2017/10/relationships/person" Target="persons/person1.xml"/><Relationship Id="rId16" Type="http://schemas.openxmlformats.org/officeDocument/2006/relationships/externalLink" Target="externalLinks/externalLink12.xml"/><Relationship Id="rId11" Type="http://schemas.openxmlformats.org/officeDocument/2006/relationships/externalLink" Target="externalLinks/externalLink7.xml"/><Relationship Id="rId32" Type="http://schemas.openxmlformats.org/officeDocument/2006/relationships/externalLink" Target="externalLinks/externalLink28.xml"/><Relationship Id="rId37" Type="http://schemas.openxmlformats.org/officeDocument/2006/relationships/calcChain" Target="calcChain.xml"/><Relationship Id="rId53" Type="http://schemas.microsoft.com/office/2017/10/relationships/person" Target="persons/person16.xml"/><Relationship Id="rId58" Type="http://schemas.microsoft.com/office/2017/10/relationships/person" Target="persons/person26.xml"/><Relationship Id="rId74" Type="http://schemas.microsoft.com/office/2017/10/relationships/person" Target="persons/person42.xml"/><Relationship Id="rId79" Type="http://schemas.microsoft.com/office/2017/10/relationships/person" Target="persons/person46.xml"/><Relationship Id="rId5" Type="http://schemas.openxmlformats.org/officeDocument/2006/relationships/externalLink" Target="externalLinks/externalLink1.xml"/><Relationship Id="rId90" Type="http://schemas.microsoft.com/office/2017/10/relationships/person" Target="persons/person2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69" Type="http://schemas.microsoft.com/office/2017/10/relationships/person" Target="persons/person4.xml"/><Relationship Id="rId64" Type="http://schemas.microsoft.com/office/2017/10/relationships/person" Target="persons/person31.xml"/><Relationship Id="rId48" Type="http://schemas.microsoft.com/office/2017/10/relationships/person" Target="persons/person11.xml"/><Relationship Id="rId43" Type="http://schemas.microsoft.com/office/2017/10/relationships/person" Target="persons/person19.xml"/><Relationship Id="rId8" Type="http://schemas.openxmlformats.org/officeDocument/2006/relationships/externalLink" Target="externalLinks/externalLink4.xml"/><Relationship Id="rId85" Type="http://schemas.microsoft.com/office/2017/10/relationships/person" Target="persons/person37.xml"/><Relationship Id="rId80" Type="http://schemas.microsoft.com/office/2017/10/relationships/person" Target="persons/person50.xml"/><Relationship Id="rId72" Type="http://schemas.microsoft.com/office/2017/10/relationships/person" Target="persons/person39.xml"/><Relationship Id="rId51" Type="http://schemas.microsoft.com/office/2017/10/relationships/person" Target="persons/person8.xml"/><Relationship Id="rId93" Type="http://schemas.microsoft.com/office/2017/10/relationships/person" Target="persons/person13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customXml" Target="../customXml/item1.xml"/><Relationship Id="rId67" Type="http://schemas.microsoft.com/office/2017/10/relationships/person" Target="persons/person34.xml"/><Relationship Id="rId46" Type="http://schemas.microsoft.com/office/2017/10/relationships/person" Target="persons/person18.xml"/><Relationship Id="rId59" Type="http://schemas.microsoft.com/office/2017/10/relationships/person" Target="persons/person25.xml"/><Relationship Id="rId20" Type="http://schemas.openxmlformats.org/officeDocument/2006/relationships/externalLink" Target="externalLinks/externalLink16.xml"/><Relationship Id="rId41" Type="http://schemas.microsoft.com/office/2017/10/relationships/person" Target="persons/person2.xml"/><Relationship Id="rId91" Type="http://schemas.microsoft.com/office/2017/10/relationships/person" Target="persons/person12.xml"/><Relationship Id="rId88" Type="http://schemas.microsoft.com/office/2017/10/relationships/person" Target="persons/person3.xml"/><Relationship Id="rId83" Type="http://schemas.microsoft.com/office/2017/10/relationships/person" Target="persons/person.xml"/><Relationship Id="rId75" Type="http://schemas.microsoft.com/office/2017/10/relationships/person" Target="persons/person43.xml"/><Relationship Id="rId70" Type="http://schemas.microsoft.com/office/2017/10/relationships/person" Target="persons/person36.xml"/><Relationship Id="rId54" Type="http://schemas.microsoft.com/office/2017/10/relationships/person" Target="persons/person6.xml"/><Relationship Id="rId62" Type="http://schemas.microsoft.com/office/2017/10/relationships/person" Target="persons/person1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sharedStrings" Target="sharedStrings.xml"/><Relationship Id="rId49" Type="http://schemas.microsoft.com/office/2017/10/relationships/person" Target="persons/person21.xml"/><Relationship Id="rId57" Type="http://schemas.microsoft.com/office/2017/10/relationships/person" Target="persons/person7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86" Type="http://schemas.microsoft.com/office/2017/10/relationships/person" Target="persons/person48.xml"/><Relationship Id="rId60" Type="http://schemas.microsoft.com/office/2017/10/relationships/person" Target="persons/person27.xml"/><Relationship Id="rId52" Type="http://schemas.microsoft.com/office/2017/10/relationships/person" Target="persons/person24.xml"/><Relationship Id="rId44" Type="http://schemas.microsoft.com/office/2017/10/relationships/person" Target="persons/person15.xml"/><Relationship Id="rId65" Type="http://schemas.microsoft.com/office/2017/10/relationships/person" Target="persons/person30.xml"/><Relationship Id="rId73" Type="http://schemas.microsoft.com/office/2017/10/relationships/person" Target="persons/person38.xml"/><Relationship Id="rId78" Type="http://schemas.microsoft.com/office/2017/10/relationships/person" Target="persons/person44.xml"/><Relationship Id="rId81" Type="http://schemas.microsoft.com/office/2017/10/relationships/person" Target="persons/person49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9" Type="http://schemas.openxmlformats.org/officeDocument/2006/relationships/customXml" Target="../customXml/item2.xml"/><Relationship Id="rId34" Type="http://schemas.openxmlformats.org/officeDocument/2006/relationships/theme" Target="theme/theme1.xml"/><Relationship Id="rId50" Type="http://schemas.microsoft.com/office/2017/10/relationships/person" Target="persons/person23.xml"/><Relationship Id="rId55" Type="http://schemas.microsoft.com/office/2017/10/relationships/person" Target="persons/person22.xml"/><Relationship Id="rId76" Type="http://schemas.microsoft.com/office/2017/10/relationships/person" Target="persons/person41.xml"/><Relationship Id="rId7" Type="http://schemas.openxmlformats.org/officeDocument/2006/relationships/externalLink" Target="externalLinks/externalLink3.xml"/><Relationship Id="rId71" Type="http://schemas.microsoft.com/office/2017/10/relationships/person" Target="persons/person35.xml"/><Relationship Id="rId92" Type="http://schemas.microsoft.com/office/2017/10/relationships/person" Target="persons/person14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5.xml"/><Relationship Id="rId24" Type="http://schemas.openxmlformats.org/officeDocument/2006/relationships/externalLink" Target="externalLinks/externalLink20.xml"/><Relationship Id="rId40" Type="http://schemas.openxmlformats.org/officeDocument/2006/relationships/customXml" Target="../customXml/item3.xml"/><Relationship Id="rId45" Type="http://schemas.microsoft.com/office/2017/10/relationships/person" Target="persons/person17.xml"/><Relationship Id="rId66" Type="http://schemas.microsoft.com/office/2017/10/relationships/person" Target="persons/person32.xml"/><Relationship Id="rId87" Type="http://schemas.microsoft.com/office/2017/10/relationships/person" Target="persons/person40.xml"/><Relationship Id="rId61" Type="http://schemas.microsoft.com/office/2017/10/relationships/person" Target="persons/person28.xml"/><Relationship Id="rId82" Type="http://schemas.microsoft.com/office/2017/10/relationships/person" Target="persons/person47.xml"/><Relationship Id="rId19" Type="http://schemas.openxmlformats.org/officeDocument/2006/relationships/externalLink" Target="externalLinks/externalLink15.xml"/><Relationship Id="rId14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26.xml"/><Relationship Id="rId35" Type="http://schemas.openxmlformats.org/officeDocument/2006/relationships/styles" Target="styles.xml"/><Relationship Id="rId77" Type="http://schemas.microsoft.com/office/2017/10/relationships/person" Target="persons/person51.xml"/><Relationship Id="rId56" Type="http://schemas.microsoft.com/office/2017/10/relationships/person" Target="persons/person2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dalmypalacios-my.sharepoint.com/personal/contadora_idalmypalacios_onmicrosoft_com/Documents/YOSSARLY/MIS%20DOCUMENTOS/PYK/2023/Estadosfros/Marzo/Situacionfraint202303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dalmypalacios-my.sharepoint.com/personal/contadora_idalmypalacios_onmicrosoft_com/Documents/YOSSARLY/MIS%20DOCUMENTOS/PYK/2023/Presupuesto/Presupuesto%20Pyk_2023_SSPD_Dic%2007%202023originalw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dalmypalacios-my.sharepoint.com/personal/contadora_idalmypalacios_onmicrosoft_com/Documents/YOSSARLY/MIS%20DOCUMENTOS/PYK/2024/Ppto/0%20Presupuesto_PyK_2024_Def01-05-2024%20-%20copia%20Modificacion%202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dalmypalacios-my.sharepoint.com/personal/contadora_idalmypalacios_onmicrosoft_com/Documents/YOSSARLY/MIS%20DOCUMENTOS/PYK/2025/Presupuesto/Anexo%20Deficit%20202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dalmypalacios-my.sharepoint.com/personal/contadora_idalmypalacios_onmicrosoft_com/Documents/YOSSARLY/MIS%20DOCUMENTOS/PYK/2024/Estfros/Septiembre/EPpto%20202409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dalmypalacios-my.sharepoint.com/personal/contadora_idalmypalacios_onmicrosoft_com/Documents/YOSSARLY/MIS%20DOCUMENTOS/PYK/2024/Contraloria/EjecucionPptalPasivaDic202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dalmypalacios-my.sharepoint.com/personal/contadora_idalmypalacios_onmicrosoft_com/Documents/YOSSARLY/MIS%20DOCUMENTOS/PYK/2025/Estados%20financieros/Mayo/FLUJODECAJA202505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dalmypalacios-my.sharepoint.com/personal/contadora_idalmypalacios_onmicrosoft_com/Documents/YOSSARLY/MIS%20DOCUMENTOS/PYK/2025/Estados%20financieros/Septiembre/Control%20Fact%20Recaudo%20Cartera%202025%2009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dalmypalacios-my.sharepoint.com/personal/contadora_idalmypalacios_onmicrosoft_com/Documents/YOSSARLY/MIS%20DOCUMENTOS/PYK/2025/Estados%20financieros/Octubre/FLUJODECAJA202510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dalmypalacios-my.sharepoint.com/personal/contadora_idalmypalacios_onmicrosoft_com/Documents/YOSSARLY/MIS%20DOCUMENTOS/PYK/2025/Estados%20financieros/Noviembre/Control%20Fact%20Recaudo%20Cartera%202025%2011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dalmypalacios-my.sharepoint.com/personal/contadora_idalmypalacios_onmicrosoft_com/Documents/YOSSARLY/MIS%20DOCUMENTOS/PYK/2025/Estados%20financieros/Diciembre/Control%20Fact%20Recaudo%20Cartera%202025%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rvidor/OneDrive%20-%20IDALMY%20YANETH%20PALACIOS%20HURTADO/YOSSARLY/MIS%20DOCUMENTOS/PYK/2023/Estadosfros/Febrero/Situacionfraint202302V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dalmypalacios-my.sharepoint.com/personal/contadora_idalmypalacios_onmicrosoft_com/Documents/YOSSARLY/MIS%20DOCUMENTOS/PYK/2025/Estados%20financieros/Febrero/Situacionfraint202502V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dalmypalacios-my.sharepoint.com/personal/contadora_idalmypalacios_onmicrosoft_com/Documents/YOSSARLY/MIS%20DOCUMENTOS/PYK/2025/Estados%20financieros/Mayo/Situacionfraint202505V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dalmypalacios-my.sharepoint.com/personal/contadora_idalmypalacios_onmicrosoft_com/Documents/YOSSARLY/MIS%20DOCUMENTOS/PYK/2025/Estados%20financieros/Julio/Situacionfraint202507V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dalmypalacios-my.sharepoint.com/personal/contadora_idalmypalacios_onmicrosoft_com/Documents/YOSSARLY/MIS%20DOCUMENTOS/PYK/2025/Estados%20financieros/Septiembre/Situacionfraint202509%20V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dalmypalacios-my.sharepoint.com/personal/contadora_idalmypalacios_onmicrosoft_com/Documents/YOSSARLY/MIS%20DOCUMENTOS/PYK/2025/Estados%20financieros/Octubre/Situacionfraint202510%20V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dalmypalacios-my.sharepoint.com/personal/contadora_idalmypalacios_onmicrosoft_com/Documents/YOSSARLY/MIS%20DOCUMENTOS/PYK/2025/Estados%20financieros/Noviembre/Situacionfraint20251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dalmypalacios-my.sharepoint.com/personal/contadora_idalmypalacios_onmicrosoft_com/Documents/YOSSARLY/MIS%20DOCUMENTOS/PYK/2025/Estados%20financieros/Diciembre/Situacionfraint20251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file\Downloads\EjecucionPptalPasiva(132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dalmypalacios-my.sharepoint.com/personal/contadora_idalmypalacios_onmicrosoft_com/Documents/YOSSARLY/MIS%20DOCUMENTOS/PYK/2025/Estados%20financieros/Abril/Situacionfraint202504V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rvidor/Downloads/EjecucionPptalPasiva01%20(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dalmypalacios-my.sharepoint.com/personal/contadora_idalmypalacios_onmicrosoft_com/Documents/YOSSARLY/MIS%20DOCUMENTOS/PYK/2023/Estadosfros/Abril/Situacionfraint202304V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dalmypalacios-my.sharepoint.com/personal/contadora_idalmypalacios_onmicrosoft_com/Documents/YOSSARLY/MIS%20DOCUMENTOS/PYK/2023/Estadosfros/Mayo/Situacionfraint202305V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dalmypalacios-my.sharepoint.com/personal/contadora_idalmypalacios_onmicrosoft_com/Documents/YOSSARLY/MIS%20DOCUMENTOS/PYK/2023/Presupuesto/EjecucionPptalPasivaAbr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dalmypalacios-my.sharepoint.com/personal/contadora_idalmypalacios_onmicrosoft_com/Documents/YOSSARLY/MIS%20DOCUMENTOS/PYK/2023/Presupuesto/EjecucionPptalPasivaMarz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dalmypalacios-my.sharepoint.com/personal/contadora_idalmypalacios_onmicrosoft_com/Documents/YOSSARLY/MIS%20DOCUMENTOS/PYK/2024/Ppto/Presupuesto_PyK_202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dalmypalacios-my.sharepoint.com/personal/contadora_idalmypalacios_onmicrosoft_com/Documents/YOSSARLY/MIS%20DOCUMENTOS/PYK/2025/Presupuesto/1%20Presupuesto%20Pyk_2025_Mod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dalmypalacios-my.sharepoint.com/personal/contadora_idalmypalacios_onmicrosoft_com/Documents/YOSSARLY/MIS%20DOCUMENTOS/PYK/2025/Presupuesto/1%20Presupuesto%20Pyk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2022"/>
      <sheetName val="situacionfra2023comp"/>
      <sheetName val="Resultados2023Oegresos"/>
      <sheetName val="Resultados2023Oingresos"/>
      <sheetName val="Resultados2023gastos"/>
      <sheetName val="Resultados2023costos"/>
      <sheetName val="situacionfra2023"/>
      <sheetName val="Cambiosenelpatrimonio 2023"/>
      <sheetName val="Resultados2023"/>
      <sheetName val="Flujo de efect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E9">
            <v>79753908</v>
          </cell>
        </row>
        <row r="25">
          <cell r="E25">
            <v>3505299</v>
          </cell>
        </row>
        <row r="39">
          <cell r="E39">
            <v>99619862.420000002</v>
          </cell>
        </row>
        <row r="175">
          <cell r="C175">
            <v>20255574.109999999</v>
          </cell>
          <cell r="E175">
            <v>16382954.67</v>
          </cell>
        </row>
      </sheetData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nna"/>
      <sheetName val="Resumen Dic 07"/>
      <sheetName val="Plan de inversiones P&amp;K"/>
      <sheetName val="Inversiones AFE"/>
    </sheetNames>
    <sheetDataSet>
      <sheetData sheetId="0">
        <row r="317">
          <cell r="X317">
            <v>0</v>
          </cell>
        </row>
        <row r="318">
          <cell r="W318">
            <v>0</v>
          </cell>
          <cell r="X318">
            <v>0</v>
          </cell>
          <cell r="Z318">
            <v>0</v>
          </cell>
        </row>
        <row r="342">
          <cell r="X342">
            <v>0</v>
          </cell>
          <cell r="Y342">
            <v>0</v>
          </cell>
        </row>
        <row r="348">
          <cell r="U348">
            <v>0</v>
          </cell>
          <cell r="V348">
            <v>0</v>
          </cell>
          <cell r="X348">
            <v>0</v>
          </cell>
          <cell r="Y348">
            <v>0</v>
          </cell>
          <cell r="Z348">
            <v>0</v>
          </cell>
        </row>
        <row r="363">
          <cell r="U363">
            <v>0</v>
          </cell>
          <cell r="Y363">
            <v>0</v>
          </cell>
          <cell r="Z363">
            <v>0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eación 2024 P&amp;K (2)"/>
      <sheetName val="Planeación 2024 P&amp;K"/>
      <sheetName val="Hoja1"/>
    </sheetNames>
    <sheetDataSet>
      <sheetData sheetId="0"/>
      <sheetData sheetId="1">
        <row r="55">
          <cell r="X55">
            <v>8000000</v>
          </cell>
        </row>
        <row r="69">
          <cell r="U69">
            <v>0</v>
          </cell>
        </row>
      </sheetData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PptalPasiva"/>
    </sheetNames>
    <sheetDataSet>
      <sheetData sheetId="0">
        <row r="391">
          <cell r="E391">
            <v>752695959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02M"/>
      <sheetName val="202401anual"/>
      <sheetName val="2024Ej"/>
      <sheetName val="202301"/>
    </sheetNames>
    <sheetDataSet>
      <sheetData sheetId="0"/>
      <sheetData sheetId="1">
        <row r="147">
          <cell r="C147">
            <v>593971271.37071896</v>
          </cell>
          <cell r="D147">
            <v>1282806684.7414379</v>
          </cell>
          <cell r="E147">
            <v>1825275149.2311568</v>
          </cell>
          <cell r="F147">
            <v>2271612247.0542092</v>
          </cell>
          <cell r="G147">
            <v>3020240251.7105951</v>
          </cell>
          <cell r="H147">
            <v>3751370656.366981</v>
          </cell>
          <cell r="I147">
            <v>4658391579.0233669</v>
          </cell>
          <cell r="J147">
            <v>5449407383.6833076</v>
          </cell>
          <cell r="K147">
            <v>7842356588.3432484</v>
          </cell>
        </row>
      </sheetData>
      <sheetData sheetId="2"/>
      <sheetData sheetId="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PptalPasiva"/>
    </sheetNames>
    <sheetDataSet>
      <sheetData sheetId="0">
        <row r="16">
          <cell r="K16">
            <v>7449706778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2025"/>
    </sheetNames>
    <sheetDataSet>
      <sheetData sheetId="0">
        <row r="9">
          <cell r="F9">
            <v>62415677.389999993</v>
          </cell>
        </row>
        <row r="10">
          <cell r="F10">
            <v>71707783.550000012</v>
          </cell>
        </row>
        <row r="11">
          <cell r="F11">
            <v>284586.01</v>
          </cell>
        </row>
        <row r="12">
          <cell r="F12">
            <v>4165865.6700000004</v>
          </cell>
        </row>
        <row r="13">
          <cell r="F13">
            <v>121605173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recaudocartera2025 (2)"/>
      <sheetName val="Factrecaudocartera2025 (3)"/>
      <sheetName val="Factrecaudocartera2025"/>
      <sheetName val="Anexo"/>
    </sheetNames>
    <sheetDataSet>
      <sheetData sheetId="0"/>
      <sheetData sheetId="1"/>
      <sheetData sheetId="2">
        <row r="52">
          <cell r="J52">
            <v>5804333.8299999991</v>
          </cell>
        </row>
        <row r="75">
          <cell r="O75">
            <v>4427039.75</v>
          </cell>
          <cell r="P75">
            <v>0</v>
          </cell>
          <cell r="Q75">
            <v>4984101.59</v>
          </cell>
        </row>
        <row r="81">
          <cell r="O81">
            <v>65580008.25</v>
          </cell>
          <cell r="P81">
            <v>96630.92</v>
          </cell>
          <cell r="Q81">
            <v>71694279.200000003</v>
          </cell>
        </row>
        <row r="90">
          <cell r="V90">
            <v>153246748</v>
          </cell>
        </row>
      </sheetData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2025"/>
    </sheetNames>
    <sheetDataSet>
      <sheetData sheetId="0">
        <row r="9">
          <cell r="K9">
            <v>65996149.579999998</v>
          </cell>
        </row>
        <row r="10">
          <cell r="K10">
            <v>54328282.919999994</v>
          </cell>
        </row>
        <row r="11">
          <cell r="K11">
            <v>240202.69</v>
          </cell>
        </row>
        <row r="12">
          <cell r="K12">
            <v>3468634.98</v>
          </cell>
        </row>
        <row r="13">
          <cell r="K13">
            <v>45615960</v>
          </cell>
        </row>
        <row r="14">
          <cell r="K14">
            <v>2266909877.8699999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recaudocartera2025 (2)"/>
      <sheetName val="Factrecaudocartera2025 (3)"/>
      <sheetName val="Factrecaudocartera2025 (4)"/>
      <sheetName val="Factrecaudocartera2025 (5)"/>
      <sheetName val="Factrecaudocartera2025"/>
      <sheetName val="Anexo"/>
    </sheetNames>
    <sheetDataSet>
      <sheetData sheetId="0"/>
      <sheetData sheetId="1"/>
      <sheetData sheetId="2"/>
      <sheetData sheetId="3"/>
      <sheetData sheetId="4">
        <row r="41">
          <cell r="K41">
            <v>-61246493.390000008</v>
          </cell>
        </row>
        <row r="75">
          <cell r="O75">
            <v>1214299.23</v>
          </cell>
          <cell r="Q75">
            <v>1741069.9200000002</v>
          </cell>
        </row>
        <row r="81">
          <cell r="O81">
            <v>44224985.799999997</v>
          </cell>
          <cell r="P81">
            <v>193150.61</v>
          </cell>
          <cell r="Q81">
            <v>50610289.810000002</v>
          </cell>
        </row>
        <row r="83">
          <cell r="V83">
            <v>66835403</v>
          </cell>
        </row>
        <row r="84">
          <cell r="V84">
            <v>62266589</v>
          </cell>
        </row>
        <row r="87">
          <cell r="S87">
            <v>2873182.8400000003</v>
          </cell>
        </row>
      </sheetData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recaudocartera2025 (2)"/>
      <sheetName val="Factrecaudocartera2025 (3)"/>
      <sheetName val="Factrecaudocartera2025 (4)"/>
      <sheetName val="Factrecaudocartera2025 (5)"/>
      <sheetName val="Factrecaudocartera2025"/>
      <sheetName val="Anexo"/>
    </sheetNames>
    <sheetDataSet>
      <sheetData sheetId="0"/>
      <sheetData sheetId="1"/>
      <sheetData sheetId="2"/>
      <sheetData sheetId="3"/>
      <sheetData sheetId="4">
        <row r="46">
          <cell r="M46">
            <v>47979589.899999999</v>
          </cell>
        </row>
        <row r="47">
          <cell r="M47">
            <v>106326.82</v>
          </cell>
        </row>
        <row r="48">
          <cell r="M48">
            <v>59618888.679999992</v>
          </cell>
        </row>
        <row r="52">
          <cell r="M52">
            <v>3588879.45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2022"/>
      <sheetName val="situacionfra2023comp"/>
      <sheetName val="Resultados2023Oegresos"/>
      <sheetName val="Resultados2023Oingresos"/>
      <sheetName val="Resultados2023gastos"/>
      <sheetName val="Resultados2023costos"/>
      <sheetName val="situacionfra2023"/>
      <sheetName val="Cambiosenelpatrimonio 2023"/>
      <sheetName val="Resultados2023"/>
      <sheetName val="Flujo de efect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D9">
            <v>85695189.340000004</v>
          </cell>
        </row>
        <row r="24">
          <cell r="C24">
            <v>795185.72</v>
          </cell>
          <cell r="D24">
            <v>3544935.34</v>
          </cell>
        </row>
        <row r="25">
          <cell r="D25">
            <v>3491616</v>
          </cell>
        </row>
        <row r="39">
          <cell r="D39">
            <v>97961217.640000001</v>
          </cell>
        </row>
        <row r="55">
          <cell r="C55">
            <v>1277029.6400000001</v>
          </cell>
          <cell r="D55">
            <v>6860322.6399999997</v>
          </cell>
        </row>
        <row r="130">
          <cell r="C130">
            <v>349904</v>
          </cell>
        </row>
      </sheetData>
      <sheetData sheetId="9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incentivo control"/>
      <sheetName val="conciliacion cartera"/>
      <sheetName val="situacionfra2024comp"/>
      <sheetName val="situacionfra"/>
      <sheetName val="Resultados"/>
      <sheetName val="Cambiosenelpatrimonio"/>
      <sheetName val="Flujo de efectivo"/>
    </sheetNames>
    <sheetDataSet>
      <sheetData sheetId="0"/>
      <sheetData sheetId="1"/>
      <sheetData sheetId="2"/>
      <sheetData sheetId="3"/>
      <sheetData sheetId="4">
        <row r="9">
          <cell r="D9">
            <v>74458879.25</v>
          </cell>
        </row>
        <row r="26">
          <cell r="D26">
            <v>3533492.25</v>
          </cell>
        </row>
        <row r="27">
          <cell r="D27">
            <v>3965777</v>
          </cell>
        </row>
      </sheetData>
      <sheetData sheetId="5"/>
      <sheetData sheetId="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para notas"/>
      <sheetName val="Desincentivo control"/>
      <sheetName val="conciliacion cartera"/>
      <sheetName val="situacionfra2024comp"/>
      <sheetName val="situacionfra"/>
      <sheetName val="Resultados"/>
      <sheetName val="Cambiosenelpatrimonio"/>
      <sheetName val="Flujo de efectivo"/>
    </sheetNames>
    <sheetDataSet>
      <sheetData sheetId="0"/>
      <sheetData sheetId="1"/>
      <sheetData sheetId="2"/>
      <sheetData sheetId="3"/>
      <sheetData sheetId="4"/>
      <sheetData sheetId="5">
        <row r="9">
          <cell r="G9">
            <v>74856954</v>
          </cell>
        </row>
        <row r="27">
          <cell r="G27">
            <v>4066748</v>
          </cell>
        </row>
        <row r="41">
          <cell r="G41">
            <v>104099882.14</v>
          </cell>
        </row>
        <row r="59">
          <cell r="G59">
            <v>1215713.1399999999</v>
          </cell>
        </row>
      </sheetData>
      <sheetData sheetId="6"/>
      <sheetData sheetId="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para notas"/>
      <sheetName val="Desincentivo control"/>
      <sheetName val="conciliacion cartera"/>
      <sheetName val="situacionfra2024comp"/>
      <sheetName val="situacionfra"/>
      <sheetName val="Resultados"/>
      <sheetName val="Cambiosenelpatrimonio"/>
      <sheetName val="Flujo de efectivo"/>
    </sheetNames>
    <sheetDataSet>
      <sheetData sheetId="0"/>
      <sheetData sheetId="1"/>
      <sheetData sheetId="2"/>
      <sheetData sheetId="3"/>
      <sheetData sheetId="4"/>
      <sheetData sheetId="5">
        <row r="9">
          <cell r="I9">
            <v>73638977.340000004</v>
          </cell>
        </row>
        <row r="27">
          <cell r="I27">
            <v>4325093</v>
          </cell>
        </row>
        <row r="41">
          <cell r="I41">
            <v>96239906.519999996</v>
          </cell>
        </row>
        <row r="59">
          <cell r="I59">
            <v>1178345.52</v>
          </cell>
        </row>
      </sheetData>
      <sheetData sheetId="6"/>
      <sheetData sheetId="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para notas"/>
      <sheetName val="Desincentivo control"/>
      <sheetName val="conciliacion cartera"/>
      <sheetName val="situacionfra2024comp"/>
      <sheetName val="situacionfra"/>
      <sheetName val="Resultados"/>
      <sheetName val="Cambiosenelpatrimonio"/>
      <sheetName val="Flujo de efectivo"/>
    </sheetNames>
    <sheetDataSet>
      <sheetData sheetId="0"/>
      <sheetData sheetId="1"/>
      <sheetData sheetId="2"/>
      <sheetData sheetId="3"/>
      <sheetData sheetId="4"/>
      <sheetData sheetId="5">
        <row r="9">
          <cell r="K9">
            <v>75645801.620000005</v>
          </cell>
        </row>
        <row r="27">
          <cell r="K27">
            <v>4001502</v>
          </cell>
        </row>
        <row r="41">
          <cell r="K41">
            <v>96727313.039999992</v>
          </cell>
        </row>
        <row r="59">
          <cell r="K59">
            <v>2042699.04</v>
          </cell>
        </row>
        <row r="119">
          <cell r="K119">
            <v>37091695.649999999</v>
          </cell>
        </row>
      </sheetData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para notas"/>
      <sheetName val="Desincentivo control"/>
      <sheetName val="conciliacion cartera"/>
      <sheetName val="situacionfra2024comp"/>
      <sheetName val="situacionfra"/>
      <sheetName val="Resultados"/>
      <sheetName val="Cambiosenelpatrimonio"/>
      <sheetName val="Flujo de efectivo"/>
    </sheetNames>
    <sheetDataSet>
      <sheetData sheetId="0"/>
      <sheetData sheetId="1"/>
      <sheetData sheetId="2"/>
      <sheetData sheetId="3"/>
      <sheetData sheetId="4"/>
      <sheetData sheetId="5">
        <row r="6">
          <cell r="C6">
            <v>178136361.61000001</v>
          </cell>
        </row>
        <row r="9">
          <cell r="L9">
            <v>71786044</v>
          </cell>
        </row>
        <row r="27">
          <cell r="L27">
            <v>4013159</v>
          </cell>
        </row>
        <row r="41">
          <cell r="L41">
            <v>89350226.810000002</v>
          </cell>
        </row>
        <row r="59">
          <cell r="L59">
            <v>1666963.81</v>
          </cell>
        </row>
      </sheetData>
      <sheetData sheetId="6"/>
      <sheetData sheetId="7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para notas"/>
      <sheetName val="Desincentivo control"/>
      <sheetName val="conciliacion cartera"/>
      <sheetName val="situacionfra2024comp"/>
      <sheetName val="situacionfra"/>
      <sheetName val="Resultados"/>
      <sheetName val="Cambiosenelpatrimonio"/>
      <sheetName val="Flujo de efectivo"/>
    </sheetNames>
    <sheetDataSet>
      <sheetData sheetId="0"/>
      <sheetData sheetId="1"/>
      <sheetData sheetId="2"/>
      <sheetData sheetId="3"/>
      <sheetData sheetId="4"/>
      <sheetData sheetId="5">
        <row r="9">
          <cell r="M9">
            <v>71676477</v>
          </cell>
        </row>
        <row r="27">
          <cell r="M27">
            <v>4018995</v>
          </cell>
        </row>
        <row r="41">
          <cell r="M41">
            <v>92947515</v>
          </cell>
        </row>
      </sheetData>
      <sheetData sheetId="6"/>
      <sheetData sheetId="7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para notas"/>
      <sheetName val="Desincentivo control"/>
      <sheetName val="conciliacion cartera"/>
      <sheetName val="situacionfra2024comp"/>
      <sheetName val="situacionfra"/>
      <sheetName val="Resultados"/>
      <sheetName val="Cambiosenelpatrimonio"/>
      <sheetName val="Flujo de efectivo"/>
    </sheetNames>
    <sheetDataSet>
      <sheetData sheetId="0"/>
      <sheetData sheetId="1"/>
      <sheetData sheetId="2"/>
      <sheetData sheetId="3"/>
      <sheetData sheetId="4"/>
      <sheetData sheetId="5">
        <row r="9">
          <cell r="N9">
            <v>69949209</v>
          </cell>
        </row>
        <row r="27">
          <cell r="N27">
            <v>3377996</v>
          </cell>
        </row>
        <row r="41">
          <cell r="N41">
            <v>104841757.05</v>
          </cell>
        </row>
      </sheetData>
      <sheetData sheetId="6"/>
      <sheetData sheetId="7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PptalPasiva"/>
    </sheetNames>
    <sheetDataSet>
      <sheetData sheetId="0">
        <row r="299">
          <cell r="N299">
            <v>14150781</v>
          </cell>
        </row>
        <row r="300">
          <cell r="N300">
            <v>14523600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para notas"/>
      <sheetName val="Desincentivo control"/>
      <sheetName val="conciliacion cartera"/>
      <sheetName val="situacionfra2024comp"/>
      <sheetName val="situacionfra"/>
      <sheetName val="Resultados"/>
      <sheetName val="Cambiosenelpatrimonio"/>
      <sheetName val="Flujo de efectivo"/>
    </sheetNames>
    <sheetDataSet>
      <sheetData sheetId="0"/>
      <sheetData sheetId="1"/>
      <sheetData sheetId="2"/>
      <sheetData sheetId="3"/>
      <sheetData sheetId="4"/>
      <sheetData sheetId="5">
        <row r="27">
          <cell r="F27">
            <v>4020745</v>
          </cell>
        </row>
      </sheetData>
      <sheetData sheetId="6"/>
      <sheetData sheetId="7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PptalPasiva"/>
    </sheetNames>
    <sheetDataSet>
      <sheetData sheetId="0">
        <row r="11">
          <cell r="S11">
            <v>308530151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2022"/>
      <sheetName val="situacionfra2023comp"/>
      <sheetName val="Resultados2023Oegresos"/>
      <sheetName val="Resultados2023Oingresos"/>
      <sheetName val="Resultados2023gastos"/>
      <sheetName val="Resultados2023costos"/>
      <sheetName val="situacionfra2023"/>
      <sheetName val="Cambiosenelpatrimonio 2023"/>
      <sheetName val="Resultados2023"/>
      <sheetName val="Flujo de efect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F9">
            <v>74716769.890000001</v>
          </cell>
        </row>
        <row r="25">
          <cell r="F25">
            <v>3643137</v>
          </cell>
        </row>
        <row r="39">
          <cell r="F39">
            <v>106508725.89</v>
          </cell>
        </row>
      </sheetData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2022"/>
      <sheetName val="situacionfra2023comp"/>
      <sheetName val="Resultados2023Oegresos"/>
      <sheetName val="Resultados2023Oingresos"/>
      <sheetName val="Resultados2023gastos"/>
      <sheetName val="Resultados2023costos"/>
      <sheetName val="situacionfra2023"/>
      <sheetName val="Cambiosenelpatrimonio 2023"/>
      <sheetName val="Resultados2023"/>
      <sheetName val="Flujo de efectiv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C13">
            <v>401158426.21999997</v>
          </cell>
        </row>
      </sheetData>
      <sheetData sheetId="7"/>
      <sheetData sheetId="8"/>
      <sheetData sheetId="9"/>
      <sheetData sheetId="10" refreshError="1">
        <row r="9">
          <cell r="G9" t="str">
            <v>NUEVA EPS</v>
          </cell>
        </row>
        <row r="25">
          <cell r="G25" t="str">
            <v>NUEVA EPS</v>
          </cell>
        </row>
        <row r="39">
          <cell r="G39" t="str">
            <v>NUEVA EPS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PptalPasiva"/>
    </sheetNames>
    <sheetDataSet>
      <sheetData sheetId="0">
        <row r="203">
          <cell r="Q203">
            <v>600000</v>
          </cell>
        </row>
        <row r="228">
          <cell r="O228">
            <v>593000</v>
          </cell>
        </row>
        <row r="231">
          <cell r="O231">
            <v>634434</v>
          </cell>
        </row>
        <row r="234">
          <cell r="O234">
            <v>4758000</v>
          </cell>
        </row>
        <row r="275">
          <cell r="Q275">
            <v>118960</v>
          </cell>
        </row>
        <row r="276">
          <cell r="Q276">
            <v>794000</v>
          </cell>
        </row>
        <row r="281">
          <cell r="Q281">
            <v>5109000</v>
          </cell>
        </row>
        <row r="284">
          <cell r="Q284">
            <v>5451000</v>
          </cell>
        </row>
        <row r="285">
          <cell r="Q285">
            <v>703510</v>
          </cell>
        </row>
        <row r="289">
          <cell r="Q289">
            <v>8866000</v>
          </cell>
        </row>
        <row r="290">
          <cell r="Q290">
            <v>2429073</v>
          </cell>
        </row>
        <row r="294">
          <cell r="Q294">
            <v>1800000</v>
          </cell>
        </row>
        <row r="295">
          <cell r="Q295">
            <v>257345</v>
          </cell>
        </row>
        <row r="298">
          <cell r="Q298">
            <v>3478598</v>
          </cell>
        </row>
        <row r="398">
          <cell r="Q398">
            <v>705004</v>
          </cell>
        </row>
        <row r="399">
          <cell r="Q399">
            <v>1400000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PptalPasiva"/>
    </sheetNames>
    <sheetDataSet>
      <sheetData sheetId="0">
        <row r="231">
          <cell r="Q231">
            <v>1918811</v>
          </cell>
        </row>
        <row r="275">
          <cell r="Q275">
            <v>2067400</v>
          </cell>
        </row>
        <row r="276">
          <cell r="Q276">
            <v>794000</v>
          </cell>
        </row>
        <row r="278">
          <cell r="Q278">
            <v>602000</v>
          </cell>
        </row>
        <row r="279">
          <cell r="Q279">
            <v>2009690</v>
          </cell>
        </row>
        <row r="281">
          <cell r="Q281">
            <v>1080000</v>
          </cell>
        </row>
        <row r="282">
          <cell r="Q282">
            <v>2900000</v>
          </cell>
        </row>
        <row r="284">
          <cell r="Q284">
            <v>7994800</v>
          </cell>
        </row>
        <row r="285">
          <cell r="Q285">
            <v>610639</v>
          </cell>
        </row>
        <row r="287">
          <cell r="Q287">
            <v>1070000</v>
          </cell>
        </row>
        <row r="289">
          <cell r="Q289">
            <v>8866000</v>
          </cell>
        </row>
        <row r="290">
          <cell r="Q290">
            <v>2437120</v>
          </cell>
        </row>
        <row r="294">
          <cell r="Q294">
            <v>1800000</v>
          </cell>
        </row>
        <row r="295">
          <cell r="Q295">
            <v>257345</v>
          </cell>
        </row>
        <row r="398">
          <cell r="Q398">
            <v>1686820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lles"/>
      <sheetName val="Planeación 2024 P&amp;K Hoja de W"/>
      <sheetName val="Planeación 2024 P&amp;K"/>
      <sheetName val="Inver Estud Dis e Inter. "/>
      <sheetName val="Hoja1"/>
    </sheetNames>
    <sheetDataSet>
      <sheetData sheetId="0"/>
      <sheetData sheetId="1">
        <row r="10">
          <cell r="C10" t="str">
            <v>Cargo fijo alcantarillado</v>
          </cell>
        </row>
        <row r="11">
          <cell r="C11" t="str">
            <v>Cargo variable alcantarillado</v>
          </cell>
        </row>
      </sheetData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eación 2025 P&amp;K (def Mod1)"/>
    </sheetNames>
    <sheetDataSet>
      <sheetData sheetId="0">
        <row r="17">
          <cell r="L17">
            <v>20000000</v>
          </cell>
          <cell r="M17">
            <v>0</v>
          </cell>
          <cell r="P17">
            <v>20000000</v>
          </cell>
          <cell r="T17">
            <v>20000000</v>
          </cell>
        </row>
        <row r="18">
          <cell r="L18">
            <v>7500000</v>
          </cell>
          <cell r="M18">
            <v>0</v>
          </cell>
          <cell r="R18">
            <v>7500000</v>
          </cell>
          <cell r="T18">
            <v>0</v>
          </cell>
        </row>
        <row r="19">
          <cell r="L19">
            <v>2500000</v>
          </cell>
          <cell r="M19">
            <v>0</v>
          </cell>
          <cell r="O19">
            <v>2500000</v>
          </cell>
          <cell r="S19">
            <v>2500000</v>
          </cell>
          <cell r="T19">
            <v>0</v>
          </cell>
        </row>
        <row r="20">
          <cell r="M20">
            <v>30000000</v>
          </cell>
          <cell r="O20">
            <v>20000000</v>
          </cell>
          <cell r="P20">
            <v>20000000</v>
          </cell>
          <cell r="R20">
            <v>20000000</v>
          </cell>
          <cell r="T20">
            <v>20000000</v>
          </cell>
        </row>
        <row r="21">
          <cell r="L21">
            <v>5700000</v>
          </cell>
          <cell r="M21">
            <v>2200000</v>
          </cell>
          <cell r="N21">
            <v>2200000</v>
          </cell>
          <cell r="O21">
            <v>2200000</v>
          </cell>
          <cell r="P21">
            <v>2200000</v>
          </cell>
          <cell r="Q21">
            <v>2200000</v>
          </cell>
          <cell r="R21">
            <v>2200000</v>
          </cell>
          <cell r="S21">
            <v>2200000</v>
          </cell>
          <cell r="T21">
            <v>2200000</v>
          </cell>
        </row>
        <row r="22">
          <cell r="N22">
            <v>15000000</v>
          </cell>
          <cell r="O22">
            <v>0</v>
          </cell>
          <cell r="Q22">
            <v>10000000</v>
          </cell>
        </row>
        <row r="23">
          <cell r="M23">
            <v>25000000</v>
          </cell>
          <cell r="O23">
            <v>25000000</v>
          </cell>
          <cell r="P23">
            <v>25000000</v>
          </cell>
          <cell r="R23">
            <v>25000000</v>
          </cell>
          <cell r="S23">
            <v>25000000</v>
          </cell>
          <cell r="T23">
            <v>25000000</v>
          </cell>
        </row>
        <row r="24">
          <cell r="L24">
            <v>6000000</v>
          </cell>
          <cell r="M24">
            <v>6000000</v>
          </cell>
          <cell r="N24">
            <v>6000000</v>
          </cell>
          <cell r="O24">
            <v>6000000</v>
          </cell>
          <cell r="P24">
            <v>6000000</v>
          </cell>
          <cell r="Q24">
            <v>6000000</v>
          </cell>
          <cell r="R24">
            <v>6000000</v>
          </cell>
          <cell r="S24">
            <v>6000000</v>
          </cell>
        </row>
        <row r="25">
          <cell r="L25">
            <v>3000000</v>
          </cell>
          <cell r="M25">
            <v>6000000</v>
          </cell>
          <cell r="N25">
            <v>6000000</v>
          </cell>
          <cell r="O25">
            <v>6000000</v>
          </cell>
          <cell r="P25">
            <v>6000000</v>
          </cell>
          <cell r="R25">
            <v>6000000</v>
          </cell>
          <cell r="S25">
            <v>6000000</v>
          </cell>
          <cell r="T25">
            <v>6000000</v>
          </cell>
        </row>
        <row r="26">
          <cell r="L26">
            <v>40000000</v>
          </cell>
          <cell r="M26">
            <v>40000000</v>
          </cell>
          <cell r="N26">
            <v>40000000</v>
          </cell>
          <cell r="O26">
            <v>40000000</v>
          </cell>
          <cell r="P26">
            <v>40000000</v>
          </cell>
          <cell r="Q26">
            <v>40000000</v>
          </cell>
          <cell r="R26">
            <v>40000000</v>
          </cell>
          <cell r="S26">
            <v>40000000</v>
          </cell>
        </row>
        <row r="27">
          <cell r="L27">
            <v>6000000</v>
          </cell>
          <cell r="M27">
            <v>6000000</v>
          </cell>
          <cell r="O27">
            <v>6000000</v>
          </cell>
          <cell r="Q27">
            <v>6000000</v>
          </cell>
          <cell r="R27">
            <v>6000000</v>
          </cell>
          <cell r="T27">
            <v>6000000</v>
          </cell>
        </row>
        <row r="28">
          <cell r="L28">
            <v>12200000</v>
          </cell>
          <cell r="M28">
            <v>12200000</v>
          </cell>
          <cell r="N28">
            <v>12200000</v>
          </cell>
          <cell r="O28">
            <v>12200000</v>
          </cell>
          <cell r="R28">
            <v>12200000</v>
          </cell>
          <cell r="T28">
            <v>12200000</v>
          </cell>
        </row>
        <row r="29">
          <cell r="M29">
            <v>8000000</v>
          </cell>
          <cell r="R29">
            <v>18000000</v>
          </cell>
        </row>
        <row r="30">
          <cell r="L30">
            <v>800000</v>
          </cell>
          <cell r="M30">
            <v>800000</v>
          </cell>
          <cell r="N30">
            <v>800000</v>
          </cell>
          <cell r="O30">
            <v>1200000</v>
          </cell>
          <cell r="Q30">
            <v>1200000</v>
          </cell>
          <cell r="R30">
            <v>1200000</v>
          </cell>
          <cell r="T30">
            <v>1200000</v>
          </cell>
        </row>
        <row r="31">
          <cell r="M31">
            <v>25000000</v>
          </cell>
        </row>
        <row r="32">
          <cell r="L32">
            <v>8690000</v>
          </cell>
          <cell r="M32">
            <v>8690000</v>
          </cell>
          <cell r="N32">
            <v>8690000</v>
          </cell>
        </row>
        <row r="33">
          <cell r="L33">
            <v>6500000</v>
          </cell>
          <cell r="M33">
            <v>6500000</v>
          </cell>
          <cell r="N33">
            <v>6500000</v>
          </cell>
          <cell r="O33">
            <v>6500000</v>
          </cell>
          <cell r="Q33">
            <v>6500000</v>
          </cell>
          <cell r="R33">
            <v>6500000</v>
          </cell>
          <cell r="T33">
            <v>6500000</v>
          </cell>
        </row>
        <row r="34">
          <cell r="M34">
            <v>8000000</v>
          </cell>
          <cell r="R34">
            <v>6000000</v>
          </cell>
        </row>
        <row r="35">
          <cell r="M35">
            <v>4000000</v>
          </cell>
          <cell r="R35">
            <v>4000000</v>
          </cell>
        </row>
        <row r="36">
          <cell r="M36">
            <v>8000000</v>
          </cell>
        </row>
        <row r="37">
          <cell r="M37">
            <v>8000000</v>
          </cell>
        </row>
        <row r="38">
          <cell r="M38">
            <v>8000000</v>
          </cell>
        </row>
        <row r="39">
          <cell r="O39">
            <v>4000000</v>
          </cell>
          <cell r="T39">
            <v>4000000</v>
          </cell>
        </row>
        <row r="40">
          <cell r="Q40">
            <v>350000000</v>
          </cell>
          <cell r="S40">
            <v>350000000</v>
          </cell>
        </row>
        <row r="41">
          <cell r="M41">
            <v>2000000</v>
          </cell>
          <cell r="N41">
            <v>2000000</v>
          </cell>
          <cell r="O41">
            <v>2000000</v>
          </cell>
          <cell r="Q41">
            <v>1600000</v>
          </cell>
        </row>
        <row r="42">
          <cell r="L42">
            <v>2847000</v>
          </cell>
          <cell r="M42">
            <v>2847000</v>
          </cell>
          <cell r="N42">
            <v>2847000</v>
          </cell>
          <cell r="O42">
            <v>2847000</v>
          </cell>
          <cell r="P42">
            <v>2847000</v>
          </cell>
          <cell r="Q42">
            <v>2847000</v>
          </cell>
          <cell r="R42">
            <v>2847000</v>
          </cell>
          <cell r="S42">
            <v>2847000</v>
          </cell>
        </row>
        <row r="43">
          <cell r="L43">
            <v>16411200</v>
          </cell>
          <cell r="M43">
            <v>16411200</v>
          </cell>
          <cell r="N43">
            <v>16411200</v>
          </cell>
          <cell r="O43">
            <v>16411200</v>
          </cell>
          <cell r="P43">
            <v>16411200</v>
          </cell>
          <cell r="Q43">
            <v>16411200</v>
          </cell>
          <cell r="R43">
            <v>16411200</v>
          </cell>
          <cell r="S43">
            <v>16411200</v>
          </cell>
        </row>
        <row r="44">
          <cell r="M44">
            <v>1400000</v>
          </cell>
          <cell r="O44">
            <v>1400000</v>
          </cell>
          <cell r="P44">
            <v>0</v>
          </cell>
        </row>
        <row r="45">
          <cell r="L45">
            <v>120000</v>
          </cell>
          <cell r="M45">
            <v>120000</v>
          </cell>
          <cell r="N45">
            <v>120000</v>
          </cell>
          <cell r="O45">
            <v>120000</v>
          </cell>
        </row>
        <row r="46">
          <cell r="L46">
            <v>450000</v>
          </cell>
          <cell r="M46">
            <v>450000</v>
          </cell>
          <cell r="N46">
            <v>400000</v>
          </cell>
          <cell r="O46">
            <v>400000</v>
          </cell>
        </row>
        <row r="47">
          <cell r="L47">
            <v>6800000</v>
          </cell>
          <cell r="M47">
            <v>6800000</v>
          </cell>
          <cell r="N47">
            <v>6800000</v>
          </cell>
          <cell r="O47">
            <v>6800000</v>
          </cell>
        </row>
        <row r="48">
          <cell r="L48">
            <v>12000000</v>
          </cell>
          <cell r="M48">
            <v>0</v>
          </cell>
          <cell r="N48">
            <v>0</v>
          </cell>
          <cell r="O48">
            <v>3000000</v>
          </cell>
          <cell r="S48">
            <v>3000000</v>
          </cell>
        </row>
        <row r="49">
          <cell r="L49">
            <v>6500000</v>
          </cell>
          <cell r="N49">
            <v>6500000</v>
          </cell>
          <cell r="O49">
            <v>0</v>
          </cell>
          <cell r="P49">
            <v>6500000</v>
          </cell>
          <cell r="T49">
            <v>6500000</v>
          </cell>
        </row>
        <row r="50">
          <cell r="M50">
            <v>7000000</v>
          </cell>
          <cell r="R50">
            <v>5000000</v>
          </cell>
          <cell r="T50">
            <v>0</v>
          </cell>
        </row>
        <row r="51">
          <cell r="L51">
            <v>100000</v>
          </cell>
          <cell r="M51">
            <v>100000</v>
          </cell>
          <cell r="N51">
            <v>100000</v>
          </cell>
          <cell r="O51">
            <v>100000</v>
          </cell>
        </row>
        <row r="52">
          <cell r="L52">
            <v>5000000</v>
          </cell>
          <cell r="M52">
            <v>5000000</v>
          </cell>
          <cell r="N52">
            <v>5000000</v>
          </cell>
          <cell r="O52">
            <v>5000000</v>
          </cell>
        </row>
        <row r="53">
          <cell r="L53">
            <v>600000</v>
          </cell>
          <cell r="M53">
            <v>600000</v>
          </cell>
          <cell r="N53">
            <v>600000</v>
          </cell>
        </row>
        <row r="54">
          <cell r="R54">
            <v>12000000</v>
          </cell>
        </row>
        <row r="55">
          <cell r="L55">
            <v>12130000</v>
          </cell>
          <cell r="M55">
            <v>12130000</v>
          </cell>
          <cell r="N55">
            <v>12130000</v>
          </cell>
          <cell r="O55">
            <v>12130000</v>
          </cell>
        </row>
        <row r="56">
          <cell r="L56">
            <v>3000000</v>
          </cell>
          <cell r="M56">
            <v>3000000</v>
          </cell>
          <cell r="N56">
            <v>3000000</v>
          </cell>
          <cell r="O56">
            <v>3000000</v>
          </cell>
          <cell r="P56">
            <v>3000000</v>
          </cell>
        </row>
        <row r="57">
          <cell r="L57">
            <v>30800000</v>
          </cell>
          <cell r="P57">
            <v>30800000</v>
          </cell>
          <cell r="Q57">
            <v>0</v>
          </cell>
        </row>
        <row r="58">
          <cell r="L58">
            <v>1300000</v>
          </cell>
          <cell r="M58">
            <v>1300000</v>
          </cell>
          <cell r="N58">
            <v>1300000</v>
          </cell>
          <cell r="O58">
            <v>1300000</v>
          </cell>
        </row>
        <row r="59">
          <cell r="L59">
            <v>10900000</v>
          </cell>
          <cell r="M59">
            <v>10900000</v>
          </cell>
          <cell r="N59">
            <v>10900000</v>
          </cell>
          <cell r="O59">
            <v>10900000</v>
          </cell>
        </row>
        <row r="60">
          <cell r="L60">
            <v>7550000</v>
          </cell>
          <cell r="M60">
            <v>7550000</v>
          </cell>
          <cell r="N60">
            <v>7550000</v>
          </cell>
          <cell r="O60">
            <v>7550000</v>
          </cell>
        </row>
        <row r="61">
          <cell r="M61">
            <v>6000000</v>
          </cell>
          <cell r="N61">
            <v>1200000</v>
          </cell>
          <cell r="T61">
            <v>17000000</v>
          </cell>
        </row>
        <row r="62">
          <cell r="L62">
            <v>5850000</v>
          </cell>
          <cell r="M62">
            <v>5850000</v>
          </cell>
          <cell r="N62">
            <v>5850000</v>
          </cell>
          <cell r="O62">
            <v>5850000</v>
          </cell>
        </row>
        <row r="63">
          <cell r="L63">
            <v>3987000</v>
          </cell>
          <cell r="M63">
            <v>3987000</v>
          </cell>
          <cell r="N63">
            <v>3987000</v>
          </cell>
          <cell r="O63">
            <v>3987000</v>
          </cell>
        </row>
        <row r="65">
          <cell r="M65">
            <v>800000</v>
          </cell>
          <cell r="N65">
            <v>3200000</v>
          </cell>
        </row>
        <row r="66">
          <cell r="M66">
            <v>3000000</v>
          </cell>
          <cell r="N66">
            <v>0</v>
          </cell>
        </row>
        <row r="67">
          <cell r="P67">
            <v>950000</v>
          </cell>
          <cell r="T67">
            <v>950000</v>
          </cell>
        </row>
        <row r="68">
          <cell r="L68">
            <v>800000</v>
          </cell>
          <cell r="M68">
            <v>800000</v>
          </cell>
          <cell r="N68">
            <v>800000</v>
          </cell>
          <cell r="O68">
            <v>800000</v>
          </cell>
          <cell r="P68">
            <v>800000</v>
          </cell>
        </row>
        <row r="69">
          <cell r="S69">
            <v>2400000</v>
          </cell>
          <cell r="T69">
            <v>0</v>
          </cell>
        </row>
        <row r="70">
          <cell r="L70">
            <v>2100000</v>
          </cell>
          <cell r="M70">
            <v>2100000</v>
          </cell>
          <cell r="N70">
            <v>2100000</v>
          </cell>
          <cell r="O70">
            <v>2100000</v>
          </cell>
        </row>
        <row r="71">
          <cell r="L71">
            <v>280000</v>
          </cell>
          <cell r="O71">
            <v>280000</v>
          </cell>
        </row>
        <row r="72">
          <cell r="L72">
            <v>85000</v>
          </cell>
          <cell r="M72">
            <v>85000</v>
          </cell>
          <cell r="N72">
            <v>85000</v>
          </cell>
          <cell r="O72">
            <v>85000</v>
          </cell>
        </row>
        <row r="73">
          <cell r="L73">
            <v>180000</v>
          </cell>
          <cell r="M73">
            <v>180000</v>
          </cell>
          <cell r="N73">
            <v>180000</v>
          </cell>
          <cell r="O73">
            <v>180000</v>
          </cell>
        </row>
        <row r="74">
          <cell r="L74">
            <v>2000000</v>
          </cell>
          <cell r="M74">
            <v>2000000</v>
          </cell>
          <cell r="N74">
            <v>2000000</v>
          </cell>
          <cell r="O74">
            <v>2000000</v>
          </cell>
        </row>
        <row r="75">
          <cell r="L75">
            <v>3000000</v>
          </cell>
        </row>
        <row r="76">
          <cell r="N76">
            <v>7000000</v>
          </cell>
          <cell r="Q76">
            <v>7000000</v>
          </cell>
          <cell r="T76">
            <v>7000000</v>
          </cell>
        </row>
        <row r="77">
          <cell r="L77">
            <v>22000000</v>
          </cell>
          <cell r="P77">
            <v>22000000</v>
          </cell>
          <cell r="Q77">
            <v>0</v>
          </cell>
          <cell r="S77">
            <v>22000000</v>
          </cell>
          <cell r="T77">
            <v>0</v>
          </cell>
        </row>
        <row r="90">
          <cell r="P90">
            <v>16000000</v>
          </cell>
          <cell r="Q90">
            <v>0</v>
          </cell>
        </row>
        <row r="91">
          <cell r="L91">
            <v>1500000</v>
          </cell>
          <cell r="M91">
            <v>1500000</v>
          </cell>
          <cell r="N91">
            <v>1500000</v>
          </cell>
          <cell r="O91">
            <v>1500000</v>
          </cell>
        </row>
        <row r="92">
          <cell r="K92">
            <v>4600000</v>
          </cell>
          <cell r="L92">
            <v>4600000</v>
          </cell>
          <cell r="M92">
            <v>4600000</v>
          </cell>
          <cell r="N92">
            <v>4600000</v>
          </cell>
          <cell r="O92">
            <v>4600000</v>
          </cell>
        </row>
        <row r="93">
          <cell r="L93">
            <v>3500000</v>
          </cell>
          <cell r="M93">
            <v>3500000</v>
          </cell>
          <cell r="N93">
            <v>3500000</v>
          </cell>
          <cell r="O93">
            <v>3500000</v>
          </cell>
        </row>
        <row r="94">
          <cell r="L94">
            <v>4750000</v>
          </cell>
          <cell r="M94">
            <v>4750000</v>
          </cell>
          <cell r="N94">
            <v>4750000</v>
          </cell>
          <cell r="O94">
            <v>4750000</v>
          </cell>
        </row>
        <row r="95">
          <cell r="L95">
            <v>2000000</v>
          </cell>
          <cell r="M95">
            <v>2000000</v>
          </cell>
          <cell r="N95">
            <v>2000000</v>
          </cell>
          <cell r="O95">
            <v>2000000</v>
          </cell>
        </row>
        <row r="96">
          <cell r="L96">
            <v>5800000</v>
          </cell>
          <cell r="M96">
            <v>5800000</v>
          </cell>
          <cell r="N96">
            <v>5800000</v>
          </cell>
          <cell r="O96">
            <v>5800000</v>
          </cell>
        </row>
        <row r="97">
          <cell r="N97">
            <v>450000</v>
          </cell>
        </row>
        <row r="147">
          <cell r="L147">
            <v>2750000</v>
          </cell>
          <cell r="M147">
            <v>2750000</v>
          </cell>
          <cell r="N147">
            <v>2750000</v>
          </cell>
          <cell r="O147">
            <v>2750000</v>
          </cell>
          <cell r="P147">
            <v>2750000</v>
          </cell>
        </row>
        <row r="148">
          <cell r="L148">
            <v>1500000</v>
          </cell>
          <cell r="M148">
            <v>1500000</v>
          </cell>
          <cell r="N148">
            <v>1500000</v>
          </cell>
          <cell r="O148">
            <v>1500000</v>
          </cell>
        </row>
        <row r="149">
          <cell r="L149">
            <v>580000</v>
          </cell>
          <cell r="M149">
            <v>580000</v>
          </cell>
          <cell r="N149">
            <v>580000</v>
          </cell>
          <cell r="O149">
            <v>580000</v>
          </cell>
        </row>
        <row r="150">
          <cell r="L150">
            <v>81000</v>
          </cell>
          <cell r="N150">
            <v>81000</v>
          </cell>
          <cell r="R150">
            <v>81000</v>
          </cell>
          <cell r="S150">
            <v>81000</v>
          </cell>
        </row>
        <row r="151">
          <cell r="L151">
            <v>200000</v>
          </cell>
          <cell r="N151">
            <v>200000</v>
          </cell>
          <cell r="R151">
            <v>200000</v>
          </cell>
          <cell r="S151">
            <v>200000</v>
          </cell>
        </row>
        <row r="152">
          <cell r="L152">
            <v>13000000</v>
          </cell>
          <cell r="N152">
            <v>13000000</v>
          </cell>
          <cell r="R152">
            <v>13000000</v>
          </cell>
          <cell r="S152">
            <v>13000000</v>
          </cell>
        </row>
        <row r="153">
          <cell r="L153">
            <v>81000</v>
          </cell>
          <cell r="M153">
            <v>81000</v>
          </cell>
          <cell r="N153">
            <v>81000</v>
          </cell>
          <cell r="P153">
            <v>81000</v>
          </cell>
          <cell r="R153">
            <v>81000</v>
          </cell>
          <cell r="T153">
            <v>81000</v>
          </cell>
        </row>
        <row r="154">
          <cell r="L154">
            <v>180000</v>
          </cell>
          <cell r="M154">
            <v>180000</v>
          </cell>
          <cell r="N154">
            <v>180000</v>
          </cell>
          <cell r="P154">
            <v>180000</v>
          </cell>
          <cell r="R154">
            <v>180000</v>
          </cell>
          <cell r="T154">
            <v>180000</v>
          </cell>
        </row>
        <row r="155">
          <cell r="L155">
            <v>350000</v>
          </cell>
          <cell r="M155">
            <v>350000</v>
          </cell>
          <cell r="N155">
            <v>350000</v>
          </cell>
          <cell r="P155">
            <v>350000</v>
          </cell>
          <cell r="R155">
            <v>350000</v>
          </cell>
          <cell r="T155">
            <v>350000</v>
          </cell>
        </row>
        <row r="156">
          <cell r="L156">
            <v>150000</v>
          </cell>
          <cell r="M156">
            <v>150000</v>
          </cell>
          <cell r="N156">
            <v>150000</v>
          </cell>
          <cell r="P156">
            <v>150000</v>
          </cell>
          <cell r="Q156">
            <v>150000</v>
          </cell>
          <cell r="R156">
            <v>150000</v>
          </cell>
          <cell r="T156">
            <v>150000</v>
          </cell>
        </row>
        <row r="157">
          <cell r="M157">
            <v>150000000</v>
          </cell>
        </row>
        <row r="158">
          <cell r="M158">
            <v>80000000</v>
          </cell>
          <cell r="N158">
            <v>80000000</v>
          </cell>
          <cell r="O158">
            <v>80000000</v>
          </cell>
        </row>
        <row r="159">
          <cell r="L159">
            <v>90000000</v>
          </cell>
          <cell r="M159">
            <v>80000000</v>
          </cell>
          <cell r="N159">
            <v>70000000</v>
          </cell>
          <cell r="O159">
            <v>70695959</v>
          </cell>
        </row>
        <row r="160">
          <cell r="F160">
            <v>8532749985.6410627</v>
          </cell>
          <cell r="I160">
            <v>489559252.22008842</v>
          </cell>
          <cell r="K160">
            <v>607062252.22008848</v>
          </cell>
          <cell r="M160">
            <v>942832252.22008848</v>
          </cell>
          <cell r="N160">
            <v>848932252.22008848</v>
          </cell>
          <cell r="O160">
            <v>688888211.22008848</v>
          </cell>
          <cell r="R160">
            <v>585492252.22008848</v>
          </cell>
        </row>
        <row r="166">
          <cell r="S166">
            <v>778992252.2200886</v>
          </cell>
        </row>
        <row r="184">
          <cell r="N184">
            <v>848932252.22008848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de W (2)"/>
      <sheetName val="Hoja de W esta"/>
      <sheetName val="Ppto2025 P&amp;K Original"/>
    </sheetNames>
    <sheetDataSet>
      <sheetData sheetId="0"/>
      <sheetData sheetId="1">
        <row r="24">
          <cell r="K24">
            <v>20000000</v>
          </cell>
        </row>
        <row r="25">
          <cell r="K25">
            <v>6000000</v>
          </cell>
        </row>
        <row r="26">
          <cell r="K26">
            <v>6500000</v>
          </cell>
        </row>
        <row r="30">
          <cell r="K30">
            <v>8690000</v>
          </cell>
        </row>
        <row r="31">
          <cell r="K31">
            <v>6500000</v>
          </cell>
        </row>
        <row r="44">
          <cell r="K44">
            <v>450000</v>
          </cell>
        </row>
        <row r="45">
          <cell r="K45">
            <v>6800000</v>
          </cell>
        </row>
        <row r="49">
          <cell r="K49">
            <v>100000</v>
          </cell>
        </row>
        <row r="50">
          <cell r="K50">
            <v>5000000</v>
          </cell>
        </row>
        <row r="51">
          <cell r="K51">
            <v>600000</v>
          </cell>
        </row>
        <row r="53">
          <cell r="K53">
            <v>12130000</v>
          </cell>
        </row>
        <row r="58">
          <cell r="K58">
            <v>7550000</v>
          </cell>
        </row>
        <row r="60">
          <cell r="K60">
            <v>4250000</v>
          </cell>
        </row>
        <row r="61">
          <cell r="K61">
            <v>3987000</v>
          </cell>
        </row>
        <row r="62">
          <cell r="K62">
            <v>1500000</v>
          </cell>
        </row>
        <row r="68">
          <cell r="K68">
            <v>2100000</v>
          </cell>
        </row>
        <row r="69">
          <cell r="K69">
            <v>280000</v>
          </cell>
        </row>
        <row r="70">
          <cell r="K70">
            <v>85000</v>
          </cell>
        </row>
        <row r="71">
          <cell r="K71">
            <v>180000</v>
          </cell>
        </row>
        <row r="72">
          <cell r="K72">
            <v>2000000</v>
          </cell>
        </row>
        <row r="88">
          <cell r="K88">
            <v>20000000</v>
          </cell>
        </row>
        <row r="89">
          <cell r="K89">
            <v>5000000</v>
          </cell>
        </row>
        <row r="91">
          <cell r="K91">
            <v>3000000</v>
          </cell>
        </row>
        <row r="92">
          <cell r="K92">
            <v>4750000</v>
          </cell>
        </row>
        <row r="94">
          <cell r="K94">
            <v>5800000</v>
          </cell>
        </row>
        <row r="145">
          <cell r="K145">
            <v>2750000</v>
          </cell>
        </row>
        <row r="147">
          <cell r="K147">
            <v>580000</v>
          </cell>
        </row>
        <row r="148">
          <cell r="K148">
            <v>81000</v>
          </cell>
        </row>
        <row r="149">
          <cell r="K149">
            <v>200000</v>
          </cell>
        </row>
        <row r="150">
          <cell r="K150">
            <v>13000000</v>
          </cell>
        </row>
        <row r="151">
          <cell r="K151">
            <v>81000</v>
          </cell>
        </row>
        <row r="152">
          <cell r="K152">
            <v>180000</v>
          </cell>
        </row>
        <row r="153">
          <cell r="K153">
            <v>350000</v>
          </cell>
        </row>
        <row r="154">
          <cell r="K154">
            <v>150000</v>
          </cell>
        </row>
        <row r="157">
          <cell r="K157">
            <v>452832252.22008836</v>
          </cell>
        </row>
      </sheetData>
      <sheetData sheetId="2">
        <row r="25">
          <cell r="J25">
            <v>0</v>
          </cell>
        </row>
        <row r="48">
          <cell r="F48">
            <v>24000000</v>
          </cell>
        </row>
        <row r="151">
          <cell r="F151">
            <v>2400000</v>
          </cell>
          <cell r="I151">
            <v>200000</v>
          </cell>
        </row>
        <row r="152">
          <cell r="F152">
            <v>149000000</v>
          </cell>
          <cell r="I152">
            <v>6000000</v>
          </cell>
        </row>
        <row r="153">
          <cell r="F153">
            <v>972000</v>
          </cell>
          <cell r="I153">
            <v>81000</v>
          </cell>
        </row>
        <row r="157">
          <cell r="F157">
            <v>300000000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50.xml><?xml version="1.0" encoding="utf-8"?>
<personList xmlns="http://schemas.microsoft.com/office/spreadsheetml/2018/threadedcomments" xmlns:x="http://schemas.openxmlformats.org/spreadsheetml/2006/main"/>
</file>

<file path=xl/persons/person51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837CE-CB2C-46D3-B3DD-89A8F02A2D93}">
  <sheetPr>
    <tabColor rgb="FFFFC000"/>
  </sheetPr>
  <dimension ref="A1:AO104"/>
  <sheetViews>
    <sheetView showGridLines="0" zoomScale="86" zoomScaleNormal="86" workbookViewId="0">
      <pane xSplit="1" ySplit="5" topLeftCell="O24" activePane="bottomRight" state="frozen"/>
      <selection pane="topRight" activeCell="B1" sqref="B1"/>
      <selection pane="bottomLeft" activeCell="A5" sqref="A5"/>
      <selection pane="bottomRight" activeCell="P26" sqref="P26"/>
    </sheetView>
  </sheetViews>
  <sheetFormatPr baseColWidth="10" defaultColWidth="11.42578125" defaultRowHeight="15" x14ac:dyDescent="0.25"/>
  <cols>
    <col min="1" max="1" width="49.28515625" customWidth="1"/>
    <col min="2" max="2" width="17.28515625" bestFit="1" customWidth="1"/>
    <col min="3" max="3" width="15.5703125" bestFit="1" customWidth="1"/>
    <col min="4" max="8" width="15.5703125" customWidth="1"/>
    <col min="9" max="11" width="16.7109375" customWidth="1"/>
    <col min="12" max="20" width="16.140625" customWidth="1"/>
    <col min="21" max="21" width="16.140625" hidden="1" customWidth="1"/>
    <col min="22" max="25" width="16.7109375" hidden="1" customWidth="1"/>
    <col min="26" max="26" width="16.140625" hidden="1" customWidth="1"/>
    <col min="27" max="28" width="16.140625" customWidth="1"/>
    <col min="29" max="29" width="18.42578125" bestFit="1" customWidth="1"/>
    <col min="30" max="30" width="9.5703125" bestFit="1" customWidth="1"/>
    <col min="31" max="31" width="18.42578125" bestFit="1" customWidth="1"/>
    <col min="32" max="32" width="15.85546875" bestFit="1" customWidth="1"/>
    <col min="33" max="33" width="15.85546875" customWidth="1"/>
    <col min="34" max="34" width="15.5703125" customWidth="1"/>
    <col min="35" max="35" width="17.28515625" customWidth="1"/>
    <col min="36" max="36" width="18.42578125" customWidth="1"/>
    <col min="37" max="39" width="15.5703125" customWidth="1"/>
    <col min="40" max="41" width="14" customWidth="1"/>
    <col min="42" max="42" width="11.42578125" customWidth="1"/>
  </cols>
  <sheetData>
    <row r="1" spans="1:41" x14ac:dyDescent="0.25">
      <c r="A1" s="167" t="s">
        <v>51</v>
      </c>
      <c r="B1" s="167"/>
      <c r="C1" s="167"/>
      <c r="D1" s="14"/>
      <c r="E1" s="14"/>
    </row>
    <row r="2" spans="1:41" x14ac:dyDescent="0.25">
      <c r="A2" s="14"/>
      <c r="B2" s="14"/>
      <c r="C2" s="14"/>
      <c r="D2" s="14"/>
      <c r="E2" s="14"/>
    </row>
    <row r="3" spans="1:41" ht="15.75" thickBot="1" x14ac:dyDescent="0.3">
      <c r="A3" s="168" t="s">
        <v>64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23"/>
      <c r="AF3" s="23"/>
      <c r="AG3" s="23"/>
    </row>
    <row r="4" spans="1:41" ht="15.75" thickBot="1" x14ac:dyDescent="0.3">
      <c r="A4" s="23"/>
      <c r="B4" s="23"/>
      <c r="C4" s="169" t="s">
        <v>105</v>
      </c>
      <c r="D4" s="170"/>
      <c r="E4" s="171"/>
      <c r="F4" s="169" t="s">
        <v>107</v>
      </c>
      <c r="G4" s="170"/>
      <c r="H4" s="171"/>
      <c r="I4" s="169" t="s">
        <v>109</v>
      </c>
      <c r="J4" s="170"/>
      <c r="K4" s="171"/>
      <c r="L4" s="169" t="s">
        <v>111</v>
      </c>
      <c r="M4" s="170"/>
      <c r="N4" s="171"/>
      <c r="O4" s="169" t="s">
        <v>112</v>
      </c>
      <c r="P4" s="170"/>
      <c r="Q4" s="171"/>
      <c r="R4" s="169" t="s">
        <v>114</v>
      </c>
      <c r="S4" s="170"/>
      <c r="T4" s="171"/>
      <c r="U4" s="23"/>
      <c r="V4" s="23"/>
      <c r="W4" s="23"/>
      <c r="X4" s="23"/>
      <c r="Y4" s="23"/>
      <c r="Z4" s="23"/>
      <c r="AA4" s="172" t="s">
        <v>48</v>
      </c>
      <c r="AB4" s="173"/>
      <c r="AC4" s="173"/>
      <c r="AD4" s="174"/>
      <c r="AE4" s="23"/>
      <c r="AF4" s="23"/>
      <c r="AG4" s="23"/>
    </row>
    <row r="5" spans="1:41" s="19" customFormat="1" ht="30" x14ac:dyDescent="0.25">
      <c r="A5" s="16" t="s">
        <v>50</v>
      </c>
      <c r="B5" s="17" t="s">
        <v>63</v>
      </c>
      <c r="C5" s="17" t="s">
        <v>40</v>
      </c>
      <c r="D5" s="17" t="s">
        <v>99</v>
      </c>
      <c r="E5" s="17" t="s">
        <v>100</v>
      </c>
      <c r="F5" s="17" t="s">
        <v>41</v>
      </c>
      <c r="G5" s="17" t="s">
        <v>106</v>
      </c>
      <c r="H5" s="17" t="s">
        <v>100</v>
      </c>
      <c r="I5" s="17" t="s">
        <v>42</v>
      </c>
      <c r="J5" s="17" t="s">
        <v>106</v>
      </c>
      <c r="K5" s="17" t="s">
        <v>100</v>
      </c>
      <c r="L5" s="17" t="s">
        <v>43</v>
      </c>
      <c r="M5" s="17" t="s">
        <v>106</v>
      </c>
      <c r="N5" s="17" t="s">
        <v>100</v>
      </c>
      <c r="O5" s="17" t="s">
        <v>44</v>
      </c>
      <c r="P5" s="17" t="s">
        <v>106</v>
      </c>
      <c r="Q5" s="17" t="s">
        <v>100</v>
      </c>
      <c r="R5" s="17" t="s">
        <v>6</v>
      </c>
      <c r="S5" s="17" t="s">
        <v>106</v>
      </c>
      <c r="T5" s="17" t="s">
        <v>100</v>
      </c>
      <c r="U5" s="17" t="s">
        <v>5</v>
      </c>
      <c r="V5" s="17" t="s">
        <v>45</v>
      </c>
      <c r="W5" s="17" t="s">
        <v>46</v>
      </c>
      <c r="X5" s="17" t="s">
        <v>47</v>
      </c>
      <c r="Y5" s="17" t="s">
        <v>4</v>
      </c>
      <c r="Z5" s="17" t="s">
        <v>3</v>
      </c>
      <c r="AA5" s="28" t="s">
        <v>102</v>
      </c>
      <c r="AB5" s="28" t="s">
        <v>103</v>
      </c>
      <c r="AC5" s="28" t="s">
        <v>104</v>
      </c>
      <c r="AD5" s="18" t="s">
        <v>49</v>
      </c>
      <c r="AE5" s="33"/>
      <c r="AF5" s="33"/>
      <c r="AG5" s="33"/>
    </row>
    <row r="6" spans="1:41" x14ac:dyDescent="0.25">
      <c r="A6" s="5" t="s">
        <v>94</v>
      </c>
      <c r="B6" s="4">
        <v>116980329</v>
      </c>
      <c r="C6" s="4">
        <v>0</v>
      </c>
      <c r="D6" s="4">
        <v>0</v>
      </c>
      <c r="E6" s="4">
        <f>+C6-D6</f>
        <v>0</v>
      </c>
      <c r="F6" s="4">
        <v>0</v>
      </c>
      <c r="G6" s="4">
        <v>0</v>
      </c>
      <c r="H6" s="4">
        <f t="shared" ref="H6:H19" si="0">+F6-G6</f>
        <v>0</v>
      </c>
      <c r="I6" s="4">
        <f>+'202501anual'!E6</f>
        <v>24907259.578648102</v>
      </c>
      <c r="J6" s="4">
        <v>0</v>
      </c>
      <c r="K6" s="4">
        <f t="shared" ref="K6:K22" si="1">+I6-J6</f>
        <v>24907259.578648102</v>
      </c>
      <c r="L6" s="4">
        <f>+'202501anual'!F6</f>
        <v>24907259.578648102</v>
      </c>
      <c r="M6" s="4">
        <f>6656089.59-1858002.8</f>
        <v>4798086.79</v>
      </c>
      <c r="N6" s="4">
        <f t="shared" ref="N6:N11" si="2">+L6-M6</f>
        <v>20109172.788648102</v>
      </c>
      <c r="O6" s="4">
        <f>+'202501anual'!G6</f>
        <v>24907259.578648102</v>
      </c>
      <c r="P6" s="4">
        <f>41573.83-16871.76+11161757.15-3147286.65+365554.54-96309.64</f>
        <v>8308417.4699999997</v>
      </c>
      <c r="Q6" s="4">
        <f t="shared" ref="Q6:Q11" si="3">+O6-P6</f>
        <v>16598842.108648103</v>
      </c>
      <c r="R6" s="4">
        <f>+'202501anual'!H6</f>
        <v>24907259.578648102</v>
      </c>
      <c r="S6" s="4"/>
      <c r="T6" s="4">
        <f t="shared" ref="T6:T11" si="4">+R6-S6</f>
        <v>24907259.578648102</v>
      </c>
      <c r="U6" s="4"/>
      <c r="V6" s="4"/>
      <c r="W6" s="4"/>
      <c r="X6" s="4"/>
      <c r="Y6" s="4"/>
      <c r="Z6" s="4"/>
      <c r="AA6" s="4">
        <f>+C6+F6+I6+L6+O6+R6</f>
        <v>99629038.314592406</v>
      </c>
      <c r="AB6" s="4">
        <f>+D6+G6+J6+M6+P6+S6</f>
        <v>13106504.26</v>
      </c>
      <c r="AC6" s="4">
        <f t="shared" ref="AC6:AC11" si="5">+AA6-AB6</f>
        <v>86522534.054592401</v>
      </c>
      <c r="AD6" s="43">
        <f>+AC6/AA6</f>
        <v>0.86844694597357841</v>
      </c>
      <c r="AE6" s="34"/>
      <c r="AF6" s="34"/>
      <c r="AG6" s="34"/>
      <c r="AH6" s="2"/>
      <c r="AI6" s="2"/>
    </row>
    <row r="7" spans="1:41" x14ac:dyDescent="0.25">
      <c r="A7" s="5" t="s">
        <v>95</v>
      </c>
      <c r="B7" s="4">
        <v>727688079.04725444</v>
      </c>
      <c r="C7" s="4">
        <v>0</v>
      </c>
      <c r="D7" s="4">
        <v>0</v>
      </c>
      <c r="E7" s="4">
        <f t="shared" ref="E7:E22" si="6">+C7-D7</f>
        <v>0</v>
      </c>
      <c r="F7" s="4">
        <v>0</v>
      </c>
      <c r="G7" s="4">
        <v>0</v>
      </c>
      <c r="H7" s="4">
        <f t="shared" si="0"/>
        <v>0</v>
      </c>
      <c r="I7" s="4">
        <f>+'202501anual'!E7</f>
        <v>73174394.085000008</v>
      </c>
      <c r="J7" s="4">
        <v>0</v>
      </c>
      <c r="K7" s="4">
        <f t="shared" si="1"/>
        <v>73174394.085000008</v>
      </c>
      <c r="L7" s="4">
        <f>+'202501anual'!F7</f>
        <v>73174394.085000008</v>
      </c>
      <c r="M7" s="4">
        <f>8880801.04-1355094.16</f>
        <v>7525706.879999999</v>
      </c>
      <c r="N7" s="4">
        <f t="shared" si="2"/>
        <v>65648687.205000013</v>
      </c>
      <c r="O7" s="4">
        <f>+'202501anual'!G7</f>
        <v>73174394.085000008</v>
      </c>
      <c r="P7" s="4">
        <f>84673.96-18192.96+20293885.7-3331592.73+1132560-166295.4</f>
        <v>17995038.57</v>
      </c>
      <c r="Q7" s="4">
        <f t="shared" si="3"/>
        <v>55179355.515000008</v>
      </c>
      <c r="R7" s="4">
        <f>+'202501anual'!H7</f>
        <v>73174394.085000008</v>
      </c>
      <c r="S7" s="4"/>
      <c r="T7" s="4">
        <f t="shared" si="4"/>
        <v>73174394.085000008</v>
      </c>
      <c r="U7" s="4"/>
      <c r="V7" s="4"/>
      <c r="W7" s="4"/>
      <c r="X7" s="4"/>
      <c r="Y7" s="4"/>
      <c r="Z7" s="4"/>
      <c r="AA7" s="4">
        <f t="shared" ref="AA7:AB11" si="7">+C7+F7+I7+L7+O7+R7</f>
        <v>292697576.34000003</v>
      </c>
      <c r="AB7" s="4">
        <f t="shared" si="7"/>
        <v>25520745.449999999</v>
      </c>
      <c r="AC7" s="4">
        <f t="shared" si="5"/>
        <v>267176830.89000005</v>
      </c>
      <c r="AD7" s="43">
        <f>+AC7/AA7</f>
        <v>0.91280848386542546</v>
      </c>
      <c r="AE7" s="34"/>
      <c r="AF7" s="34"/>
      <c r="AG7" s="34"/>
      <c r="AH7" s="2"/>
      <c r="AI7" s="2"/>
    </row>
    <row r="8" spans="1:41" x14ac:dyDescent="0.25">
      <c r="A8" s="5" t="s">
        <v>113</v>
      </c>
      <c r="B8" s="4">
        <v>1460371848</v>
      </c>
      <c r="C8" s="4">
        <v>0</v>
      </c>
      <c r="D8" s="4">
        <v>0</v>
      </c>
      <c r="E8" s="4">
        <f t="shared" si="6"/>
        <v>0</v>
      </c>
      <c r="F8" s="4">
        <v>0</v>
      </c>
      <c r="G8" s="4">
        <v>0</v>
      </c>
      <c r="H8" s="4">
        <f t="shared" si="0"/>
        <v>0</v>
      </c>
      <c r="I8" s="4">
        <f>+'202501anual'!E8</f>
        <v>1590000</v>
      </c>
      <c r="J8" s="4">
        <v>1000210</v>
      </c>
      <c r="K8" s="4">
        <f t="shared" si="1"/>
        <v>589790</v>
      </c>
      <c r="L8" s="4">
        <f>+'202501anual'!F8</f>
        <v>1590000</v>
      </c>
      <c r="M8" s="4">
        <v>2529667</v>
      </c>
      <c r="N8" s="4">
        <f t="shared" si="2"/>
        <v>-939667</v>
      </c>
      <c r="O8" s="4">
        <f>+'202501anual'!G8</f>
        <v>1590000</v>
      </c>
      <c r="P8" s="4">
        <f>3331955.26+166683</f>
        <v>3498638.26</v>
      </c>
      <c r="Q8" s="4">
        <f t="shared" si="3"/>
        <v>-1908638.2599999998</v>
      </c>
      <c r="R8" s="4">
        <f>+'202501anual'!H8</f>
        <v>1590000</v>
      </c>
      <c r="S8" s="4"/>
      <c r="T8" s="4">
        <f t="shared" si="4"/>
        <v>1590000</v>
      </c>
      <c r="U8" s="4"/>
      <c r="V8" s="4"/>
      <c r="W8" s="4"/>
      <c r="X8" s="4"/>
      <c r="Y8" s="4"/>
      <c r="Z8" s="4"/>
      <c r="AA8" s="4">
        <f t="shared" si="7"/>
        <v>6360000</v>
      </c>
      <c r="AB8" s="4">
        <f t="shared" si="7"/>
        <v>7028515.2599999998</v>
      </c>
      <c r="AC8" s="4">
        <f t="shared" si="5"/>
        <v>-668515.25999999978</v>
      </c>
      <c r="AD8" s="43">
        <f>+AC8/AA8</f>
        <v>-0.10511246226415091</v>
      </c>
      <c r="AE8" s="34"/>
      <c r="AF8" s="34"/>
      <c r="AG8" s="34"/>
      <c r="AH8" s="2"/>
      <c r="AI8" s="2"/>
    </row>
    <row r="9" spans="1:41" x14ac:dyDescent="0.25">
      <c r="A9" s="5" t="s">
        <v>97</v>
      </c>
      <c r="B9" s="4">
        <v>384000000</v>
      </c>
      <c r="C9" s="4">
        <v>32000000</v>
      </c>
      <c r="D9" s="4">
        <v>35018397.310000002</v>
      </c>
      <c r="E9" s="4">
        <f t="shared" si="6"/>
        <v>-3018397.3100000024</v>
      </c>
      <c r="F9" s="4">
        <v>32000000</v>
      </c>
      <c r="G9" s="4">
        <v>22235664</v>
      </c>
      <c r="H9" s="4">
        <f t="shared" si="0"/>
        <v>9764336</v>
      </c>
      <c r="I9" s="4">
        <f>+'202501anual'!E10</f>
        <v>89250000</v>
      </c>
      <c r="J9" s="4">
        <f>23782524.8+499828.7</f>
        <v>24282353.5</v>
      </c>
      <c r="K9" s="4">
        <f t="shared" si="1"/>
        <v>64967646.5</v>
      </c>
      <c r="L9" s="4">
        <f>+'202501anual'!F10</f>
        <v>89250000</v>
      </c>
      <c r="M9" s="4">
        <f>31917625-14853460.67-90490.51</f>
        <v>16973673.819999997</v>
      </c>
      <c r="N9" s="4">
        <f t="shared" si="2"/>
        <v>72276326.180000007</v>
      </c>
      <c r="O9" s="4">
        <f>+'202501anual'!G10</f>
        <v>89250000</v>
      </c>
      <c r="P9" s="4">
        <f>24478075.71-863600</f>
        <v>23614475.710000001</v>
      </c>
      <c r="Q9" s="4">
        <f t="shared" si="3"/>
        <v>65635524.289999999</v>
      </c>
      <c r="R9" s="4">
        <f>+'202501anual'!H10</f>
        <v>89250000</v>
      </c>
      <c r="S9" s="4"/>
      <c r="T9" s="4">
        <f t="shared" si="4"/>
        <v>89250000</v>
      </c>
      <c r="U9" s="4"/>
      <c r="V9" s="4"/>
      <c r="W9" s="4"/>
      <c r="X9" s="4"/>
      <c r="Y9" s="4"/>
      <c r="Z9" s="4"/>
      <c r="AA9" s="4">
        <f t="shared" si="7"/>
        <v>421000000</v>
      </c>
      <c r="AB9" s="4">
        <f t="shared" si="7"/>
        <v>122124564.34</v>
      </c>
      <c r="AC9" s="4">
        <f t="shared" si="5"/>
        <v>298875435.65999997</v>
      </c>
      <c r="AD9" s="43">
        <f>+AC9/AA9</f>
        <v>0.70991789942992867</v>
      </c>
      <c r="AE9" s="34"/>
      <c r="AF9" s="34"/>
      <c r="AG9" s="34"/>
      <c r="AH9" s="2"/>
      <c r="AI9" s="2"/>
    </row>
    <row r="10" spans="1:41" x14ac:dyDescent="0.25">
      <c r="A10" s="5" t="s">
        <v>101</v>
      </c>
      <c r="B10" s="4">
        <v>0</v>
      </c>
      <c r="C10" s="4">
        <v>0</v>
      </c>
      <c r="D10" s="4">
        <v>0</v>
      </c>
      <c r="E10" s="4">
        <f t="shared" si="6"/>
        <v>0</v>
      </c>
      <c r="F10" s="4">
        <v>0</v>
      </c>
      <c r="G10" s="4">
        <v>4211013</v>
      </c>
      <c r="H10" s="4">
        <f t="shared" si="0"/>
        <v>-4211013</v>
      </c>
      <c r="I10" s="4">
        <f>+'202501anual'!E11</f>
        <v>300526.70793269889</v>
      </c>
      <c r="J10" s="4">
        <f>+[1]Resultados2023!$E$175+[1]Resultados2023!$C$175</f>
        <v>36638528.780000001</v>
      </c>
      <c r="K10" s="4">
        <f t="shared" si="1"/>
        <v>-36338002.072067305</v>
      </c>
      <c r="L10" s="4">
        <f>+'202501anual'!F11</f>
        <v>300526.70793269889</v>
      </c>
      <c r="M10" s="4">
        <v>3592200</v>
      </c>
      <c r="N10" s="4">
        <f t="shared" si="2"/>
        <v>-3291673.292067301</v>
      </c>
      <c r="O10" s="4">
        <f>+'202501anual'!G11</f>
        <v>300526.70793269889</v>
      </c>
      <c r="P10" s="4">
        <v>1967700</v>
      </c>
      <c r="Q10" s="4">
        <f t="shared" si="3"/>
        <v>-1667173.292067301</v>
      </c>
      <c r="R10" s="4">
        <f>+'202501anual'!H11</f>
        <v>300526.70793269889</v>
      </c>
      <c r="S10" s="4"/>
      <c r="T10" s="4">
        <f t="shared" si="4"/>
        <v>300526.70793269889</v>
      </c>
      <c r="U10" s="4"/>
      <c r="V10" s="4"/>
      <c r="W10" s="4"/>
      <c r="X10" s="4"/>
      <c r="Y10" s="4"/>
      <c r="Z10" s="4"/>
      <c r="AA10" s="4">
        <f t="shared" si="7"/>
        <v>1202106.8317307956</v>
      </c>
      <c r="AB10" s="4">
        <f t="shared" si="7"/>
        <v>46409441.780000001</v>
      </c>
      <c r="AC10" s="4">
        <f t="shared" si="5"/>
        <v>-45207334.948269203</v>
      </c>
      <c r="AD10" s="43">
        <f t="shared" ref="AD10:AD22" si="8">+AC10/AA10</f>
        <v>-37.606753206101992</v>
      </c>
      <c r="AE10" s="34"/>
      <c r="AF10" s="34"/>
      <c r="AG10" s="34"/>
      <c r="AH10" s="2"/>
      <c r="AI10" s="2"/>
    </row>
    <row r="11" spans="1:41" x14ac:dyDescent="0.25">
      <c r="A11" s="26" t="s">
        <v>98</v>
      </c>
      <c r="B11" s="4">
        <v>1744961750</v>
      </c>
      <c r="C11" s="4">
        <v>348992350</v>
      </c>
      <c r="D11" s="4">
        <v>0</v>
      </c>
      <c r="E11" s="4">
        <f t="shared" si="6"/>
        <v>348992350</v>
      </c>
      <c r="F11" s="4">
        <v>348992350</v>
      </c>
      <c r="G11" s="4">
        <v>7315123</v>
      </c>
      <c r="H11" s="4">
        <f t="shared" si="0"/>
        <v>341677227</v>
      </c>
      <c r="I11" s="4">
        <f>+'202501anual'!E14</f>
        <v>4252695959</v>
      </c>
      <c r="J11" s="4">
        <v>6429362</v>
      </c>
      <c r="K11" s="4">
        <f t="shared" si="1"/>
        <v>4246266597</v>
      </c>
      <c r="L11" s="4">
        <f>+'202501anual'!F14</f>
        <v>0</v>
      </c>
      <c r="M11" s="4">
        <v>0</v>
      </c>
      <c r="N11" s="4">
        <f t="shared" si="2"/>
        <v>0</v>
      </c>
      <c r="O11" s="4">
        <f>+'202501anual'!G14</f>
        <v>0</v>
      </c>
      <c r="P11" s="4">
        <v>0</v>
      </c>
      <c r="Q11" s="4">
        <f t="shared" si="3"/>
        <v>0</v>
      </c>
      <c r="R11" s="4">
        <f>+'202501anual'!H14</f>
        <v>0</v>
      </c>
      <c r="S11" s="4">
        <v>0</v>
      </c>
      <c r="T11" s="4">
        <f t="shared" si="4"/>
        <v>0</v>
      </c>
      <c r="U11" s="4"/>
      <c r="V11" s="4"/>
      <c r="W11" s="4"/>
      <c r="X11" s="4"/>
      <c r="Y11" s="4"/>
      <c r="Z11" s="4"/>
      <c r="AA11" s="4">
        <f t="shared" si="7"/>
        <v>4950680659</v>
      </c>
      <c r="AB11" s="4">
        <f t="shared" si="7"/>
        <v>13744485</v>
      </c>
      <c r="AC11" s="4">
        <f t="shared" si="5"/>
        <v>4936936174</v>
      </c>
      <c r="AD11" s="43">
        <f t="shared" si="8"/>
        <v>0.99722371812146404</v>
      </c>
      <c r="AE11" s="34"/>
      <c r="AF11" s="34"/>
      <c r="AG11" s="34"/>
      <c r="AH11" s="2"/>
      <c r="AI11" s="2"/>
    </row>
    <row r="12" spans="1:41" ht="18.75" x14ac:dyDescent="0.3">
      <c r="A12" s="11" t="s">
        <v>2</v>
      </c>
      <c r="B12" s="7">
        <f>SUM(B6:B11)</f>
        <v>4434002006.0472546</v>
      </c>
      <c r="C12" s="7">
        <f t="shared" ref="C12:AC12" si="9">SUM(C6:C11)</f>
        <v>380992350</v>
      </c>
      <c r="D12" s="7">
        <f t="shared" si="9"/>
        <v>35018397.310000002</v>
      </c>
      <c r="E12" s="7">
        <f t="shared" si="9"/>
        <v>345973952.69</v>
      </c>
      <c r="F12" s="7">
        <f>SUM(F6:F11)</f>
        <v>380992350</v>
      </c>
      <c r="G12" s="7">
        <f>SUM(G6:G11)</f>
        <v>33761800</v>
      </c>
      <c r="H12" s="7">
        <f>SUM(H6:H11)</f>
        <v>347230550</v>
      </c>
      <c r="I12" s="7">
        <f t="shared" si="9"/>
        <v>4441918139.3715811</v>
      </c>
      <c r="J12" s="7">
        <f t="shared" si="9"/>
        <v>68350454.280000001</v>
      </c>
      <c r="K12" s="7">
        <f t="shared" si="9"/>
        <v>4373567685.0915804</v>
      </c>
      <c r="L12" s="7">
        <f>SUM(L6:L11)</f>
        <v>189222180.37158084</v>
      </c>
      <c r="M12" s="7">
        <f>SUM(M6:M11)</f>
        <v>35419334.489999995</v>
      </c>
      <c r="N12" s="7">
        <f>SUM(N6:N11)</f>
        <v>153802845.88158083</v>
      </c>
      <c r="O12" s="7">
        <f t="shared" si="9"/>
        <v>189222180.37158084</v>
      </c>
      <c r="P12" s="7">
        <f t="shared" si="9"/>
        <v>55384270.009999998</v>
      </c>
      <c r="Q12" s="7">
        <f t="shared" si="9"/>
        <v>133837910.3615808</v>
      </c>
      <c r="R12" s="7">
        <f t="shared" si="9"/>
        <v>189222180.37158084</v>
      </c>
      <c r="S12" s="7">
        <f t="shared" si="9"/>
        <v>0</v>
      </c>
      <c r="T12" s="7">
        <f t="shared" si="9"/>
        <v>189222180.37158084</v>
      </c>
      <c r="U12" s="7">
        <f t="shared" si="9"/>
        <v>0</v>
      </c>
      <c r="V12" s="7">
        <f t="shared" si="9"/>
        <v>0</v>
      </c>
      <c r="W12" s="7">
        <f t="shared" si="9"/>
        <v>0</v>
      </c>
      <c r="X12" s="7">
        <f t="shared" si="9"/>
        <v>0</v>
      </c>
      <c r="Y12" s="7">
        <f t="shared" si="9"/>
        <v>0</v>
      </c>
      <c r="Z12" s="7">
        <f t="shared" si="9"/>
        <v>0</v>
      </c>
      <c r="AA12" s="7">
        <f t="shared" si="9"/>
        <v>5771569380.4863234</v>
      </c>
      <c r="AB12" s="7">
        <f>SUM(AB6:AB11)</f>
        <v>227934256.09</v>
      </c>
      <c r="AC12" s="7">
        <f t="shared" si="9"/>
        <v>5543635124.3963232</v>
      </c>
      <c r="AD12" s="31">
        <f t="shared" si="8"/>
        <v>0.96050740430139403</v>
      </c>
      <c r="AE12" s="34"/>
      <c r="AF12" s="35"/>
      <c r="AG12" s="35"/>
      <c r="AH12" s="2"/>
      <c r="AI12" s="2"/>
    </row>
    <row r="13" spans="1:41" x14ac:dyDescent="0.25">
      <c r="A13" s="5" t="s">
        <v>36</v>
      </c>
      <c r="B13" s="4">
        <v>878588056</v>
      </c>
      <c r="C13" s="4">
        <v>73215671.330134079</v>
      </c>
      <c r="D13" s="4">
        <v>86122604.719999999</v>
      </c>
      <c r="E13" s="4">
        <f t="shared" si="6"/>
        <v>-12906933.38986592</v>
      </c>
      <c r="F13" s="4">
        <f>+'202501anual'!D16</f>
        <v>86117097.033095926</v>
      </c>
      <c r="G13" s="4">
        <f>+[2]Resultados2023!$D$9-[2]Resultados2023!$D$24-[2]Resultados2023!$C$24</f>
        <v>81355068.280000001</v>
      </c>
      <c r="H13" s="4">
        <f t="shared" si="0"/>
        <v>4762028.7530959249</v>
      </c>
      <c r="I13" s="4">
        <f>+'202501anual'!E16</f>
        <v>86117097.033095926</v>
      </c>
      <c r="J13" s="4">
        <f>+[1]Resultados2023!$E$9-700236</f>
        <v>79053672</v>
      </c>
      <c r="K13" s="4">
        <f t="shared" si="1"/>
        <v>7063425.033095926</v>
      </c>
      <c r="L13" s="4">
        <f>+'202501anual'!F16</f>
        <v>86117097.033095926</v>
      </c>
      <c r="M13" s="4">
        <f>+[3]Resultados2023!$F$9</f>
        <v>74716769.890000001</v>
      </c>
      <c r="N13" s="4">
        <f t="shared" ref="N13:N19" si="10">+L13-M13</f>
        <v>11400327.143095925</v>
      </c>
      <c r="O13" s="4">
        <f>+'202501anual'!G16</f>
        <v>86117097.033095926</v>
      </c>
      <c r="P13" s="4" t="str">
        <f>+[4]Hoja1!$G$9</f>
        <v>NUEVA EPS</v>
      </c>
      <c r="Q13" s="4" t="e">
        <f t="shared" ref="Q13:Q19" si="11">+O13-P13</f>
        <v>#VALUE!</v>
      </c>
      <c r="R13" s="4">
        <f>+'202501anual'!H16</f>
        <v>86117097.033095926</v>
      </c>
      <c r="S13" s="4"/>
      <c r="T13" s="4">
        <f t="shared" ref="T13:T19" si="12">+R13-S13</f>
        <v>86117097.033095926</v>
      </c>
      <c r="U13" s="4"/>
      <c r="V13" s="4"/>
      <c r="W13" s="4"/>
      <c r="X13" s="4"/>
      <c r="Y13" s="4"/>
      <c r="Z13" s="4"/>
      <c r="AA13" s="4">
        <f t="shared" ref="AA13:AB19" si="13">+C13+F13+I13+L13+O13+R13</f>
        <v>503801156.49561369</v>
      </c>
      <c r="AB13" s="4" t="e">
        <f t="shared" si="13"/>
        <v>#VALUE!</v>
      </c>
      <c r="AC13" s="4" t="e">
        <f t="shared" ref="AC13:AC19" si="14">+AA13-AB13</f>
        <v>#VALUE!</v>
      </c>
      <c r="AD13" s="43" t="e">
        <f t="shared" si="8"/>
        <v>#VALUE!</v>
      </c>
      <c r="AE13" s="34"/>
      <c r="AF13" s="36"/>
      <c r="AG13" s="36"/>
      <c r="AH13" s="2"/>
      <c r="AI13" s="2"/>
    </row>
    <row r="14" spans="1:41" ht="60" x14ac:dyDescent="0.25">
      <c r="A14" s="21" t="s">
        <v>65</v>
      </c>
      <c r="B14" s="4">
        <v>21060000</v>
      </c>
      <c r="C14" s="4">
        <v>7020000</v>
      </c>
      <c r="D14" s="4">
        <v>0</v>
      </c>
      <c r="E14" s="4">
        <f t="shared" si="6"/>
        <v>7020000</v>
      </c>
      <c r="F14" s="4">
        <f>+'202501anual'!D17</f>
        <v>0</v>
      </c>
      <c r="G14" s="4">
        <v>0</v>
      </c>
      <c r="H14" s="4">
        <f t="shared" si="0"/>
        <v>0</v>
      </c>
      <c r="I14" s="4">
        <f>+'202501anual'!E17</f>
        <v>0</v>
      </c>
      <c r="J14" s="4">
        <v>0</v>
      </c>
      <c r="K14" s="4">
        <f t="shared" si="1"/>
        <v>0</v>
      </c>
      <c r="L14" s="4">
        <f>+'202501anual'!F17</f>
        <v>0</v>
      </c>
      <c r="M14" s="4">
        <f>+[5]EjecucionPptalPasiva!$Q$203</f>
        <v>600000</v>
      </c>
      <c r="N14" s="4">
        <f t="shared" si="10"/>
        <v>-600000</v>
      </c>
      <c r="O14" s="4">
        <f>+'202501anual'!G17</f>
        <v>0</v>
      </c>
      <c r="P14" s="4">
        <v>0</v>
      </c>
      <c r="Q14" s="4">
        <f t="shared" si="11"/>
        <v>0</v>
      </c>
      <c r="R14" s="4">
        <f>+'202501anual'!H17</f>
        <v>0</v>
      </c>
      <c r="S14" s="4">
        <v>0</v>
      </c>
      <c r="T14" s="4">
        <f t="shared" si="12"/>
        <v>0</v>
      </c>
      <c r="U14" s="4"/>
      <c r="V14" s="4"/>
      <c r="W14" s="4"/>
      <c r="X14" s="4"/>
      <c r="Y14" s="4"/>
      <c r="Z14" s="4"/>
      <c r="AA14" s="4">
        <f t="shared" si="13"/>
        <v>7020000</v>
      </c>
      <c r="AB14" s="4">
        <f t="shared" si="13"/>
        <v>600000</v>
      </c>
      <c r="AC14" s="4">
        <f t="shared" si="14"/>
        <v>6420000</v>
      </c>
      <c r="AD14" s="43">
        <f t="shared" si="8"/>
        <v>0.9145299145299145</v>
      </c>
      <c r="AE14" s="34"/>
      <c r="AF14" s="36"/>
      <c r="AG14" s="36"/>
      <c r="AH14" s="2"/>
      <c r="AI14" s="2"/>
    </row>
    <row r="15" spans="1:41" x14ac:dyDescent="0.25">
      <c r="A15" s="5" t="s">
        <v>9</v>
      </c>
      <c r="B15" s="4">
        <f>1981048858-52905201</f>
        <v>1928143657</v>
      </c>
      <c r="C15" s="4">
        <v>27833200</v>
      </c>
      <c r="D15" s="4">
        <v>5039883</v>
      </c>
      <c r="E15" s="4">
        <f t="shared" si="6"/>
        <v>22793317</v>
      </c>
      <c r="F15" s="4">
        <f>+'202501anual'!D18</f>
        <v>0</v>
      </c>
      <c r="G15" s="4">
        <v>8480617</v>
      </c>
      <c r="H15" s="4">
        <f t="shared" si="0"/>
        <v>-8480617</v>
      </c>
      <c r="I15" s="4">
        <f>+'202501anual'!E18</f>
        <v>0</v>
      </c>
      <c r="J15" s="4" t="e">
        <f>+#REF!</f>
        <v>#REF!</v>
      </c>
      <c r="K15" s="4" t="e">
        <f t="shared" si="1"/>
        <v>#REF!</v>
      </c>
      <c r="L15" s="4">
        <f>+'202501anual'!F18</f>
        <v>39000000</v>
      </c>
      <c r="M15" s="4" t="e">
        <f>+#REF!</f>
        <v>#REF!</v>
      </c>
      <c r="N15" s="4" t="e">
        <f t="shared" si="10"/>
        <v>#REF!</v>
      </c>
      <c r="O15" s="4">
        <f>+'202501anual'!G18</f>
        <v>42000000</v>
      </c>
      <c r="P15" s="4" t="e">
        <f>+#REF!</f>
        <v>#REF!</v>
      </c>
      <c r="Q15" s="4" t="e">
        <f t="shared" si="11"/>
        <v>#REF!</v>
      </c>
      <c r="R15" s="4">
        <f>+'202501anual'!H18</f>
        <v>27000000</v>
      </c>
      <c r="S15" s="4" t="e">
        <f>+#REF!</f>
        <v>#REF!</v>
      </c>
      <c r="T15" s="4" t="e">
        <f t="shared" si="12"/>
        <v>#REF!</v>
      </c>
      <c r="U15" s="4"/>
      <c r="V15" s="4"/>
      <c r="W15" s="4"/>
      <c r="X15" s="4"/>
      <c r="Y15" s="4"/>
      <c r="Z15" s="4"/>
      <c r="AA15" s="4">
        <f t="shared" si="13"/>
        <v>135833200</v>
      </c>
      <c r="AB15" s="4" t="e">
        <f t="shared" si="13"/>
        <v>#REF!</v>
      </c>
      <c r="AC15" s="4" t="e">
        <f t="shared" si="14"/>
        <v>#REF!</v>
      </c>
      <c r="AD15" s="43" t="e">
        <f t="shared" si="8"/>
        <v>#REF!</v>
      </c>
      <c r="AE15" s="34"/>
      <c r="AF15" s="36"/>
      <c r="AG15" s="36"/>
      <c r="AH15" s="2"/>
      <c r="AI15" s="37"/>
      <c r="AJ15" s="20"/>
      <c r="AK15" s="20"/>
      <c r="AL15" s="20"/>
      <c r="AM15" s="20"/>
      <c r="AN15" s="20"/>
      <c r="AO15" s="20"/>
    </row>
    <row r="16" spans="1:41" x14ac:dyDescent="0.25">
      <c r="A16" s="5" t="s">
        <v>8</v>
      </c>
      <c r="B16" s="4">
        <f>2106159750</f>
        <v>2106159750</v>
      </c>
      <c r="C16" s="4">
        <v>365592350</v>
      </c>
      <c r="D16" s="4">
        <v>125855</v>
      </c>
      <c r="E16" s="4">
        <f t="shared" si="6"/>
        <v>365466495</v>
      </c>
      <c r="F16" s="4">
        <f>+'202501anual'!D28</f>
        <v>0</v>
      </c>
      <c r="G16" s="4">
        <f>125822+31200000+46400000</f>
        <v>77725822</v>
      </c>
      <c r="H16" s="4">
        <f t="shared" si="0"/>
        <v>-77725822</v>
      </c>
      <c r="I16" s="4">
        <f>+'202501anual'!E28</f>
        <v>0</v>
      </c>
      <c r="J16" s="4" t="e">
        <f>+#REF!</f>
        <v>#REF!</v>
      </c>
      <c r="K16" s="4" t="e">
        <f t="shared" si="1"/>
        <v>#REF!</v>
      </c>
      <c r="L16" s="4">
        <f>+'202501anual'!F28</f>
        <v>0</v>
      </c>
      <c r="M16" s="4" t="e">
        <f>+#REF!</f>
        <v>#REF!</v>
      </c>
      <c r="N16" s="4" t="e">
        <f t="shared" si="10"/>
        <v>#REF!</v>
      </c>
      <c r="O16" s="4">
        <f>+'202501anual'!G28</f>
        <v>0</v>
      </c>
      <c r="P16" s="4" t="e">
        <f>+#REF!</f>
        <v>#REF!</v>
      </c>
      <c r="Q16" s="4" t="e">
        <f t="shared" si="11"/>
        <v>#REF!</v>
      </c>
      <c r="R16" s="4">
        <f>+'202501anual'!H28</f>
        <v>0</v>
      </c>
      <c r="S16" s="4" t="e">
        <f>+#REF!</f>
        <v>#REF!</v>
      </c>
      <c r="T16" s="4" t="e">
        <f t="shared" si="12"/>
        <v>#REF!</v>
      </c>
      <c r="U16" s="4"/>
      <c r="V16" s="4"/>
      <c r="W16" s="4"/>
      <c r="X16" s="4"/>
      <c r="Y16" s="4"/>
      <c r="Z16" s="4"/>
      <c r="AA16" s="4">
        <f t="shared" si="13"/>
        <v>365592350</v>
      </c>
      <c r="AB16" s="4" t="e">
        <f t="shared" si="13"/>
        <v>#REF!</v>
      </c>
      <c r="AC16" s="4" t="e">
        <f t="shared" si="14"/>
        <v>#REF!</v>
      </c>
      <c r="AD16" s="43" t="e">
        <f t="shared" si="8"/>
        <v>#REF!</v>
      </c>
      <c r="AE16" s="34"/>
      <c r="AF16" s="36"/>
      <c r="AG16" s="2"/>
      <c r="AI16" s="37"/>
      <c r="AJ16" s="20"/>
      <c r="AK16" s="20"/>
      <c r="AL16" s="20"/>
      <c r="AM16" s="20"/>
      <c r="AN16" s="20"/>
      <c r="AO16" s="20"/>
    </row>
    <row r="17" spans="1:41" x14ac:dyDescent="0.25">
      <c r="A17" s="5" t="s">
        <v>10</v>
      </c>
      <c r="B17" s="4">
        <f>360000000+14000000</f>
        <v>374000000</v>
      </c>
      <c r="C17" s="4">
        <v>0</v>
      </c>
      <c r="D17" s="4">
        <v>0</v>
      </c>
      <c r="E17" s="4">
        <f t="shared" si="6"/>
        <v>0</v>
      </c>
      <c r="F17" s="4">
        <f>+'202501anual'!D34</f>
        <v>0</v>
      </c>
      <c r="G17" s="4">
        <v>0</v>
      </c>
      <c r="H17" s="4">
        <f t="shared" si="0"/>
        <v>0</v>
      </c>
      <c r="I17" s="4">
        <f>+'202501anual'!E34</f>
        <v>0</v>
      </c>
      <c r="J17" s="4">
        <v>0</v>
      </c>
      <c r="K17" s="4">
        <f t="shared" si="1"/>
        <v>0</v>
      </c>
      <c r="L17" s="4">
        <f>+'202501anual'!F34</f>
        <v>0</v>
      </c>
      <c r="M17" s="4">
        <v>0</v>
      </c>
      <c r="N17" s="4">
        <f t="shared" si="10"/>
        <v>0</v>
      </c>
      <c r="O17" s="4">
        <f>+'202501anual'!G34</f>
        <v>0</v>
      </c>
      <c r="P17" s="4">
        <v>0</v>
      </c>
      <c r="Q17" s="4">
        <f t="shared" si="11"/>
        <v>0</v>
      </c>
      <c r="R17" s="4">
        <f>+'202501anual'!H34</f>
        <v>0</v>
      </c>
      <c r="S17" s="4">
        <v>0</v>
      </c>
      <c r="T17" s="4">
        <f t="shared" si="12"/>
        <v>0</v>
      </c>
      <c r="U17" s="4"/>
      <c r="V17" s="4"/>
      <c r="W17" s="4"/>
      <c r="X17" s="4"/>
      <c r="Y17" s="4"/>
      <c r="Z17" s="4"/>
      <c r="AA17" s="4">
        <f t="shared" si="13"/>
        <v>0</v>
      </c>
      <c r="AB17" s="4">
        <f t="shared" si="13"/>
        <v>0</v>
      </c>
      <c r="AC17" s="4">
        <f t="shared" si="14"/>
        <v>0</v>
      </c>
      <c r="AD17" s="43">
        <v>0</v>
      </c>
      <c r="AE17" s="34"/>
      <c r="AF17" s="36"/>
      <c r="AG17" s="36"/>
      <c r="AH17" s="2"/>
      <c r="AI17" s="37"/>
      <c r="AJ17" s="20"/>
      <c r="AK17" s="20"/>
      <c r="AL17" s="20"/>
      <c r="AM17" s="20"/>
      <c r="AN17" s="20"/>
      <c r="AO17" s="20"/>
    </row>
    <row r="18" spans="1:41" x14ac:dyDescent="0.25">
      <c r="A18" s="5" t="s">
        <v>11</v>
      </c>
      <c r="B18" s="4">
        <f>744342859-14000000</f>
        <v>730342859</v>
      </c>
      <c r="C18" s="4">
        <v>48866667</v>
      </c>
      <c r="D18" s="4">
        <v>0</v>
      </c>
      <c r="E18" s="4">
        <f t="shared" si="6"/>
        <v>48866667</v>
      </c>
      <c r="F18" s="4">
        <f>+'202501anual'!D37</f>
        <v>0</v>
      </c>
      <c r="G18" s="4">
        <v>0</v>
      </c>
      <c r="H18" s="4">
        <f t="shared" si="0"/>
        <v>0</v>
      </c>
      <c r="I18" s="4">
        <f>+'202501anual'!E37</f>
        <v>0</v>
      </c>
      <c r="J18" s="4" t="e">
        <f>+#REF!</f>
        <v>#REF!</v>
      </c>
      <c r="K18" s="4" t="e">
        <f t="shared" si="1"/>
        <v>#REF!</v>
      </c>
      <c r="L18" s="4">
        <f>+'202501anual'!F37</f>
        <v>0</v>
      </c>
      <c r="M18" s="4" t="e">
        <f>+#REF!</f>
        <v>#REF!</v>
      </c>
      <c r="N18" s="4" t="e">
        <f t="shared" si="10"/>
        <v>#REF!</v>
      </c>
      <c r="O18" s="4">
        <f>+'202501anual'!G37</f>
        <v>0</v>
      </c>
      <c r="P18" s="4" t="e">
        <f>+#REF!</f>
        <v>#REF!</v>
      </c>
      <c r="Q18" s="4" t="e">
        <f t="shared" si="11"/>
        <v>#REF!</v>
      </c>
      <c r="R18" s="4">
        <f>+'202501anual'!H37</f>
        <v>0</v>
      </c>
      <c r="S18" s="4" t="e">
        <f>+#REF!</f>
        <v>#REF!</v>
      </c>
      <c r="T18" s="4" t="e">
        <f t="shared" si="12"/>
        <v>#REF!</v>
      </c>
      <c r="U18" s="4"/>
      <c r="V18" s="4"/>
      <c r="W18" s="4"/>
      <c r="X18" s="4"/>
      <c r="Y18" s="4"/>
      <c r="Z18" s="4"/>
      <c r="AA18" s="4">
        <f t="shared" si="13"/>
        <v>48866667</v>
      </c>
      <c r="AB18" s="4" t="e">
        <f t="shared" si="13"/>
        <v>#REF!</v>
      </c>
      <c r="AC18" s="4" t="e">
        <f t="shared" si="14"/>
        <v>#REF!</v>
      </c>
      <c r="AD18" s="43" t="e">
        <f t="shared" si="8"/>
        <v>#REF!</v>
      </c>
      <c r="AE18" s="34"/>
      <c r="AF18" s="36"/>
      <c r="AG18" s="36"/>
      <c r="AH18" s="2"/>
      <c r="AI18" s="37"/>
      <c r="AJ18" s="20"/>
      <c r="AK18" s="20"/>
      <c r="AL18" s="20"/>
      <c r="AM18" s="20"/>
      <c r="AN18" s="20"/>
      <c r="AO18" s="20"/>
    </row>
    <row r="19" spans="1:41" x14ac:dyDescent="0.25">
      <c r="A19" s="5" t="s">
        <v>12</v>
      </c>
      <c r="B19" s="4">
        <f>389605000+1000000</f>
        <v>390605000</v>
      </c>
      <c r="C19" s="4">
        <v>6650000</v>
      </c>
      <c r="D19" s="4">
        <v>1781552</v>
      </c>
      <c r="E19" s="4">
        <f t="shared" si="6"/>
        <v>4868448</v>
      </c>
      <c r="F19" s="4">
        <f>+'202501anual'!D38</f>
        <v>13281000</v>
      </c>
      <c r="G19" s="4">
        <f>1005925+499333+3000000</f>
        <v>4505258</v>
      </c>
      <c r="H19" s="4">
        <f t="shared" si="0"/>
        <v>8775742</v>
      </c>
      <c r="I19" s="4">
        <f>+'202501anual'!E38</f>
        <v>45481000</v>
      </c>
      <c r="J19" s="4" t="e">
        <f>+#REF!</f>
        <v>#REF!</v>
      </c>
      <c r="K19" s="4" t="e">
        <f t="shared" si="1"/>
        <v>#REF!</v>
      </c>
      <c r="L19" s="4">
        <f>+'202501anual'!F38</f>
        <v>18981000</v>
      </c>
      <c r="M19" s="4" t="e">
        <f>+#REF!</f>
        <v>#REF!</v>
      </c>
      <c r="N19" s="4" t="e">
        <f t="shared" si="10"/>
        <v>#REF!</v>
      </c>
      <c r="O19" s="4">
        <f>+'202501anual'!G38</f>
        <v>120481000</v>
      </c>
      <c r="P19" s="4" t="e">
        <f>+#REF!</f>
        <v>#REF!</v>
      </c>
      <c r="Q19" s="4" t="e">
        <f t="shared" si="11"/>
        <v>#REF!</v>
      </c>
      <c r="R19" s="4">
        <f>+'202501anual'!H38</f>
        <v>120481000</v>
      </c>
      <c r="S19" s="4" t="e">
        <f>+#REF!</f>
        <v>#REF!</v>
      </c>
      <c r="T19" s="4" t="e">
        <f t="shared" si="12"/>
        <v>#REF!</v>
      </c>
      <c r="U19" s="4"/>
      <c r="V19" s="4"/>
      <c r="W19" s="4"/>
      <c r="X19" s="4"/>
      <c r="Y19" s="4"/>
      <c r="Z19" s="4"/>
      <c r="AA19" s="4">
        <f t="shared" si="13"/>
        <v>325355000</v>
      </c>
      <c r="AB19" s="4" t="e">
        <f t="shared" si="13"/>
        <v>#REF!</v>
      </c>
      <c r="AC19" s="4" t="e">
        <f t="shared" si="14"/>
        <v>#REF!</v>
      </c>
      <c r="AD19" s="43" t="e">
        <f t="shared" si="8"/>
        <v>#REF!</v>
      </c>
      <c r="AE19" s="34"/>
      <c r="AF19" s="36"/>
      <c r="AG19" s="36"/>
      <c r="AH19" s="2"/>
      <c r="AI19" s="37"/>
      <c r="AJ19" s="20"/>
      <c r="AK19" s="20"/>
      <c r="AL19" s="20"/>
      <c r="AM19" s="20"/>
      <c r="AN19" s="20"/>
      <c r="AO19" s="20"/>
    </row>
    <row r="20" spans="1:41" x14ac:dyDescent="0.25">
      <c r="A20" s="12" t="s">
        <v>13</v>
      </c>
      <c r="B20" s="8">
        <f>SUM(B13:B19)</f>
        <v>6428899322</v>
      </c>
      <c r="C20" s="8">
        <f>SUM(C13:C19)</f>
        <v>529177888.33013409</v>
      </c>
      <c r="D20" s="8">
        <f t="shared" ref="D20:AC20" si="15">SUM(D13:D19)</f>
        <v>93069894.719999999</v>
      </c>
      <c r="E20" s="8">
        <f t="shared" si="15"/>
        <v>436107993.61013407</v>
      </c>
      <c r="F20" s="8">
        <f t="shared" si="15"/>
        <v>99398097.033095926</v>
      </c>
      <c r="G20" s="8">
        <f t="shared" si="15"/>
        <v>172066765.28</v>
      </c>
      <c r="H20" s="8">
        <f t="shared" si="15"/>
        <v>-72668668.246904075</v>
      </c>
      <c r="I20" s="8">
        <f t="shared" si="15"/>
        <v>131598097.03309593</v>
      </c>
      <c r="J20" s="8" t="e">
        <f t="shared" si="15"/>
        <v>#REF!</v>
      </c>
      <c r="K20" s="8" t="e">
        <f t="shared" si="15"/>
        <v>#REF!</v>
      </c>
      <c r="L20" s="8">
        <f t="shared" si="15"/>
        <v>144098097.03309593</v>
      </c>
      <c r="M20" s="8" t="e">
        <f t="shared" si="15"/>
        <v>#REF!</v>
      </c>
      <c r="N20" s="8" t="e">
        <f t="shared" si="15"/>
        <v>#REF!</v>
      </c>
      <c r="O20" s="8">
        <f t="shared" si="15"/>
        <v>248598097.03309593</v>
      </c>
      <c r="P20" s="8" t="e">
        <f t="shared" si="15"/>
        <v>#REF!</v>
      </c>
      <c r="Q20" s="8" t="e">
        <f t="shared" si="15"/>
        <v>#VALUE!</v>
      </c>
      <c r="R20" s="8">
        <f>+'202501anual'!H48</f>
        <v>233598097.03309593</v>
      </c>
      <c r="S20" s="8" t="e">
        <f>SUM(S13:S19)</f>
        <v>#REF!</v>
      </c>
      <c r="T20" s="8" t="e">
        <f>SUM(T13:T19)</f>
        <v>#REF!</v>
      </c>
      <c r="U20" s="8">
        <f t="shared" si="15"/>
        <v>0</v>
      </c>
      <c r="V20" s="8">
        <f t="shared" si="15"/>
        <v>0</v>
      </c>
      <c r="W20" s="8">
        <f t="shared" si="15"/>
        <v>0</v>
      </c>
      <c r="X20" s="8">
        <f t="shared" si="15"/>
        <v>0</v>
      </c>
      <c r="Y20" s="8">
        <f t="shared" si="15"/>
        <v>0</v>
      </c>
      <c r="Z20" s="8">
        <f t="shared" si="15"/>
        <v>0</v>
      </c>
      <c r="AA20" s="8">
        <f t="shared" si="15"/>
        <v>1386468373.4956136</v>
      </c>
      <c r="AB20" s="8" t="e">
        <f t="shared" si="15"/>
        <v>#VALUE!</v>
      </c>
      <c r="AC20" s="8" t="e">
        <f t="shared" si="15"/>
        <v>#VALUE!</v>
      </c>
      <c r="AD20" s="31" t="e">
        <f t="shared" si="8"/>
        <v>#VALUE!</v>
      </c>
      <c r="AE20" s="34"/>
      <c r="AF20" s="35"/>
      <c r="AG20" s="35"/>
      <c r="AH20" s="2"/>
      <c r="AJ20" s="20"/>
      <c r="AK20" s="20"/>
      <c r="AL20" s="20"/>
      <c r="AM20" s="20"/>
    </row>
    <row r="21" spans="1:41" x14ac:dyDescent="0.25">
      <c r="A21" s="5" t="s">
        <v>35</v>
      </c>
      <c r="B21" s="4">
        <v>40627002</v>
      </c>
      <c r="C21" s="27">
        <v>3385583.5765486476</v>
      </c>
      <c r="D21" s="4">
        <v>3565471</v>
      </c>
      <c r="E21" s="4">
        <f t="shared" si="6"/>
        <v>-179887.4234513524</v>
      </c>
      <c r="F21" s="4">
        <f>+'202501anual'!D49</f>
        <v>4129928.2960171285</v>
      </c>
      <c r="G21" s="4">
        <f>+[2]Resultados2023!$D$25</f>
        <v>3491616</v>
      </c>
      <c r="H21" s="4">
        <f>+F21-G21</f>
        <v>638312.29601712851</v>
      </c>
      <c r="I21" s="4">
        <f>+'202501anual'!E49</f>
        <v>4279928.296017129</v>
      </c>
      <c r="J21" s="4">
        <f>+[1]Resultados2023!$E$25</f>
        <v>3505299</v>
      </c>
      <c r="K21" s="4">
        <f t="shared" si="1"/>
        <v>774629.29601712897</v>
      </c>
      <c r="L21" s="4">
        <f>+'202501anual'!F49</f>
        <v>4129928.2960171285</v>
      </c>
      <c r="M21" s="4">
        <f>+[3]Resultados2023!$F$25</f>
        <v>3643137</v>
      </c>
      <c r="N21" s="4">
        <f>+L21-M21</f>
        <v>486791.29601712851</v>
      </c>
      <c r="O21" s="4">
        <f>+'202501anual'!G49</f>
        <v>4129928.2960171285</v>
      </c>
      <c r="P21" s="4" t="str">
        <f>+[4]Hoja1!$G$25</f>
        <v>NUEVA EPS</v>
      </c>
      <c r="Q21" s="4" t="e">
        <f>+O21-P21</f>
        <v>#VALUE!</v>
      </c>
      <c r="R21" s="4">
        <f>+'202501anual'!H49</f>
        <v>4129928.2960171285</v>
      </c>
      <c r="S21" s="4"/>
      <c r="T21" s="4">
        <f>+R21-S21</f>
        <v>4129928.2960171285</v>
      </c>
      <c r="U21" s="4"/>
      <c r="V21" s="4"/>
      <c r="W21" s="4"/>
      <c r="X21" s="4"/>
      <c r="Y21" s="4"/>
      <c r="Z21" s="4"/>
      <c r="AA21" s="4">
        <f>+C21+F21+I21+L21+O21+R21</f>
        <v>24185225.056634292</v>
      </c>
      <c r="AB21" s="4" t="e">
        <f>+D21+G21+J21+M21+P21+S21</f>
        <v>#VALUE!</v>
      </c>
      <c r="AC21" s="4" t="e">
        <f>+AA21-AB21</f>
        <v>#VALUE!</v>
      </c>
      <c r="AD21" s="43" t="e">
        <f t="shared" si="8"/>
        <v>#VALUE!</v>
      </c>
      <c r="AE21" s="34"/>
      <c r="AF21" s="38"/>
      <c r="AG21" s="38"/>
      <c r="AH21" s="2"/>
      <c r="AJ21" s="20"/>
      <c r="AK21" s="20"/>
      <c r="AL21" s="20"/>
      <c r="AM21" s="20"/>
    </row>
    <row r="22" spans="1:41" x14ac:dyDescent="0.25">
      <c r="A22" s="5" t="s">
        <v>14</v>
      </c>
      <c r="B22" s="4">
        <v>17458000</v>
      </c>
      <c r="C22" s="4">
        <v>3250000</v>
      </c>
      <c r="D22" s="4">
        <v>31735</v>
      </c>
      <c r="E22" s="4">
        <f t="shared" si="6"/>
        <v>3218265</v>
      </c>
      <c r="F22" s="4">
        <f>+'202501anual'!D50</f>
        <v>150000</v>
      </c>
      <c r="G22" s="4">
        <v>31735</v>
      </c>
      <c r="H22" s="4">
        <f>+F22-G22</f>
        <v>118265</v>
      </c>
      <c r="I22" s="4">
        <f>+'202501anual'!E50</f>
        <v>0</v>
      </c>
      <c r="J22" s="4" t="e">
        <f>+#REF!</f>
        <v>#REF!</v>
      </c>
      <c r="K22" s="4" t="e">
        <f t="shared" si="1"/>
        <v>#REF!</v>
      </c>
      <c r="L22" s="4">
        <f>+'202501anual'!F50</f>
        <v>150000</v>
      </c>
      <c r="M22" s="4">
        <v>31735</v>
      </c>
      <c r="N22" s="4">
        <f>+L22-M22</f>
        <v>118265</v>
      </c>
      <c r="O22" s="4">
        <f>+'202501anual'!G50</f>
        <v>150000</v>
      </c>
      <c r="P22" s="4">
        <v>31735</v>
      </c>
      <c r="Q22" s="4">
        <f>+O22-P22</f>
        <v>118265</v>
      </c>
      <c r="R22" s="4">
        <f>+'202501anual'!H50</f>
        <v>150000</v>
      </c>
      <c r="S22" s="4"/>
      <c r="T22" s="4">
        <f>+R22-S22</f>
        <v>150000</v>
      </c>
      <c r="U22" s="4"/>
      <c r="V22" s="4"/>
      <c r="W22" s="4"/>
      <c r="X22" s="4"/>
      <c r="Y22" s="4"/>
      <c r="Z22" s="4"/>
      <c r="AA22" s="4">
        <f>+C22+F22+I22+L22+O22+R22</f>
        <v>3850000</v>
      </c>
      <c r="AB22" s="4" t="e">
        <f>+D22+G22+J22+M22+P22+S22</f>
        <v>#REF!</v>
      </c>
      <c r="AC22" s="4" t="e">
        <f>+AA22-AB22</f>
        <v>#REF!</v>
      </c>
      <c r="AD22" s="43" t="e">
        <f t="shared" si="8"/>
        <v>#REF!</v>
      </c>
      <c r="AE22" s="34"/>
      <c r="AF22" s="38"/>
      <c r="AG22" s="38"/>
      <c r="AH22" s="2"/>
      <c r="AJ22" s="20"/>
      <c r="AK22" s="20"/>
      <c r="AL22" s="20"/>
      <c r="AM22" s="20"/>
    </row>
    <row r="23" spans="1:41" x14ac:dyDescent="0.25">
      <c r="A23" s="12" t="s">
        <v>15</v>
      </c>
      <c r="B23" s="8">
        <f>SUM(B21:B22)</f>
        <v>58085002</v>
      </c>
      <c r="C23" s="8">
        <f>SUM(C21:C22)</f>
        <v>6635583.5765486471</v>
      </c>
      <c r="D23" s="8">
        <f t="shared" ref="D23:AC23" si="16">SUM(D21:D22)</f>
        <v>3597206</v>
      </c>
      <c r="E23" s="8">
        <f t="shared" si="16"/>
        <v>3038377.5765486476</v>
      </c>
      <c r="F23" s="8">
        <f t="shared" si="16"/>
        <v>4279928.296017129</v>
      </c>
      <c r="G23" s="8">
        <f t="shared" si="16"/>
        <v>3523351</v>
      </c>
      <c r="H23" s="8">
        <f t="shared" si="16"/>
        <v>756577.29601712851</v>
      </c>
      <c r="I23" s="8">
        <f t="shared" si="16"/>
        <v>4279928.296017129</v>
      </c>
      <c r="J23" s="8" t="e">
        <f t="shared" si="16"/>
        <v>#REF!</v>
      </c>
      <c r="K23" s="8" t="e">
        <f t="shared" si="16"/>
        <v>#REF!</v>
      </c>
      <c r="L23" s="8">
        <f t="shared" si="16"/>
        <v>4279928.296017129</v>
      </c>
      <c r="M23" s="8">
        <f t="shared" si="16"/>
        <v>3674872</v>
      </c>
      <c r="N23" s="8">
        <f t="shared" si="16"/>
        <v>605056.29601712851</v>
      </c>
      <c r="O23" s="8">
        <f t="shared" si="16"/>
        <v>4279928.296017129</v>
      </c>
      <c r="P23" s="8">
        <f t="shared" si="16"/>
        <v>31735</v>
      </c>
      <c r="Q23" s="8" t="e">
        <f t="shared" si="16"/>
        <v>#VALUE!</v>
      </c>
      <c r="R23" s="8">
        <f>+'202501anual'!H51</f>
        <v>4279928.296017129</v>
      </c>
      <c r="S23" s="8">
        <f t="shared" si="16"/>
        <v>0</v>
      </c>
      <c r="T23" s="8">
        <f t="shared" si="16"/>
        <v>4279928.296017129</v>
      </c>
      <c r="U23" s="8">
        <f t="shared" si="16"/>
        <v>0</v>
      </c>
      <c r="V23" s="8">
        <f t="shared" si="16"/>
        <v>0</v>
      </c>
      <c r="W23" s="8">
        <f t="shared" si="16"/>
        <v>0</v>
      </c>
      <c r="X23" s="8">
        <f t="shared" si="16"/>
        <v>0</v>
      </c>
      <c r="Y23" s="8">
        <f t="shared" si="16"/>
        <v>0</v>
      </c>
      <c r="Z23" s="8">
        <f t="shared" si="16"/>
        <v>0</v>
      </c>
      <c r="AA23" s="8">
        <f t="shared" si="16"/>
        <v>28035225.056634292</v>
      </c>
      <c r="AB23" s="8" t="e">
        <f t="shared" si="16"/>
        <v>#VALUE!</v>
      </c>
      <c r="AC23" s="8" t="e">
        <f t="shared" si="16"/>
        <v>#VALUE!</v>
      </c>
      <c r="AD23" s="31" t="e">
        <f>+AC23/AA23</f>
        <v>#VALUE!</v>
      </c>
      <c r="AE23" s="34"/>
      <c r="AF23" s="36"/>
      <c r="AG23" s="36"/>
      <c r="AH23" s="2"/>
      <c r="AJ23" s="20"/>
      <c r="AK23" s="20"/>
      <c r="AL23" s="20"/>
      <c r="AM23" s="20"/>
    </row>
    <row r="24" spans="1:41" x14ac:dyDescent="0.25">
      <c r="A24" s="12" t="s">
        <v>1</v>
      </c>
      <c r="B24" s="8">
        <f>+B23+B20</f>
        <v>6486984324</v>
      </c>
      <c r="C24" s="8">
        <f>+C23+C20</f>
        <v>535813471.90668273</v>
      </c>
      <c r="D24" s="8">
        <f t="shared" ref="D24:AC24" si="17">+D23+D20</f>
        <v>96667100.719999999</v>
      </c>
      <c r="E24" s="8">
        <f t="shared" si="17"/>
        <v>439146371.1866827</v>
      </c>
      <c r="F24" s="8">
        <f t="shared" si="17"/>
        <v>103678025.32911305</v>
      </c>
      <c r="G24" s="8">
        <f t="shared" si="17"/>
        <v>175590116.28</v>
      </c>
      <c r="H24" s="8">
        <f t="shared" si="17"/>
        <v>-71912090.95088695</v>
      </c>
      <c r="I24" s="8">
        <f t="shared" si="17"/>
        <v>135878025.32911307</v>
      </c>
      <c r="J24" s="8" t="e">
        <f t="shared" si="17"/>
        <v>#REF!</v>
      </c>
      <c r="K24" s="8" t="e">
        <f t="shared" si="17"/>
        <v>#REF!</v>
      </c>
      <c r="L24" s="8">
        <f t="shared" si="17"/>
        <v>148378025.32911307</v>
      </c>
      <c r="M24" s="8" t="e">
        <f t="shared" si="17"/>
        <v>#REF!</v>
      </c>
      <c r="N24" s="8" t="e">
        <f t="shared" si="17"/>
        <v>#REF!</v>
      </c>
      <c r="O24" s="8">
        <f t="shared" si="17"/>
        <v>252878025.32911307</v>
      </c>
      <c r="P24" s="8" t="e">
        <f t="shared" si="17"/>
        <v>#REF!</v>
      </c>
      <c r="Q24" s="8" t="e">
        <f t="shared" si="17"/>
        <v>#VALUE!</v>
      </c>
      <c r="R24" s="8">
        <f>+'202501anual'!H52</f>
        <v>237878025.32911307</v>
      </c>
      <c r="S24" s="8" t="e">
        <f t="shared" si="17"/>
        <v>#REF!</v>
      </c>
      <c r="T24" s="8" t="e">
        <f t="shared" si="17"/>
        <v>#REF!</v>
      </c>
      <c r="U24" s="8">
        <f t="shared" si="17"/>
        <v>0</v>
      </c>
      <c r="V24" s="8">
        <f t="shared" si="17"/>
        <v>0</v>
      </c>
      <c r="W24" s="8">
        <f t="shared" si="17"/>
        <v>0</v>
      </c>
      <c r="X24" s="8">
        <f t="shared" si="17"/>
        <v>0</v>
      </c>
      <c r="Y24" s="8">
        <f t="shared" si="17"/>
        <v>0</v>
      </c>
      <c r="Z24" s="8">
        <f t="shared" si="17"/>
        <v>0</v>
      </c>
      <c r="AA24" s="8">
        <f t="shared" si="17"/>
        <v>1414503598.5522478</v>
      </c>
      <c r="AB24" s="8" t="e">
        <f t="shared" si="17"/>
        <v>#VALUE!</v>
      </c>
      <c r="AC24" s="8" t="e">
        <f t="shared" si="17"/>
        <v>#VALUE!</v>
      </c>
      <c r="AD24" s="31" t="e">
        <f>+AC24/AA24</f>
        <v>#VALUE!</v>
      </c>
      <c r="AE24" s="34">
        <f>+H24/F24</f>
        <v>-0.69360976660783158</v>
      </c>
      <c r="AF24" s="35" t="e">
        <f>+Q24/O24*100</f>
        <v>#VALUE!</v>
      </c>
      <c r="AG24" s="35"/>
      <c r="AH24" s="2"/>
      <c r="AI24" s="2"/>
      <c r="AJ24" s="20"/>
      <c r="AK24" s="20"/>
      <c r="AL24" s="20"/>
      <c r="AM24" s="20"/>
    </row>
    <row r="25" spans="1:41" x14ac:dyDescent="0.25">
      <c r="A25" s="22" t="s">
        <v>58</v>
      </c>
      <c r="B25" s="4">
        <v>1516052727</v>
      </c>
      <c r="C25" s="4">
        <v>126337727.3946867</v>
      </c>
      <c r="D25" s="4">
        <v>96267509.640000001</v>
      </c>
      <c r="E25" s="4">
        <f t="shared" ref="E25:E86" si="18">+C25-D25</f>
        <v>30070217.754686698</v>
      </c>
      <c r="F25" s="4">
        <f>+'202501anual'!D53</f>
        <v>130288100.03</v>
      </c>
      <c r="G25" s="4">
        <f>+[2]Resultados2023!$D$39-[2]Resultados2023!$D$55-[2]Resultados2023!$C$55</f>
        <v>89823865.359999999</v>
      </c>
      <c r="H25" s="4">
        <f t="shared" ref="H25:H86" si="19">+F25-G25</f>
        <v>40464234.670000002</v>
      </c>
      <c r="I25" s="4">
        <f>+'202501anual'!E53</f>
        <v>130288100.03</v>
      </c>
      <c r="J25" s="4">
        <f>+[1]Resultados2023!$E$39-2640011</f>
        <v>96979851.420000002</v>
      </c>
      <c r="K25" s="4">
        <f t="shared" ref="K25:K33" si="20">+I25-J25</f>
        <v>33308248.609999999</v>
      </c>
      <c r="L25" s="4">
        <f>+'202501anual'!F53</f>
        <v>130288100.03</v>
      </c>
      <c r="M25" s="4">
        <f>+[3]Resultados2023!$F$39</f>
        <v>106508725.89</v>
      </c>
      <c r="N25" s="4">
        <f t="shared" ref="N25:N33" si="21">+L25-M25</f>
        <v>23779374.140000001</v>
      </c>
      <c r="O25" s="4">
        <f>+'202501anual'!G53</f>
        <v>130288100.03</v>
      </c>
      <c r="P25" s="4" t="str">
        <f>+[4]Hoja1!$G$39</f>
        <v>NUEVA EPS</v>
      </c>
      <c r="Q25" s="4" t="e">
        <f t="shared" ref="Q25:Q33" si="22">+O25-P25</f>
        <v>#VALUE!</v>
      </c>
      <c r="R25" s="4">
        <f>+'202501anual'!H53</f>
        <v>130288100.03</v>
      </c>
      <c r="S25" s="4"/>
      <c r="T25" s="4">
        <f t="shared" ref="T25:T33" si="23">+R25-S25</f>
        <v>130288100.03</v>
      </c>
      <c r="U25" s="4"/>
      <c r="V25" s="4"/>
      <c r="W25" s="4"/>
      <c r="X25" s="4"/>
      <c r="Y25" s="4"/>
      <c r="Z25" s="4"/>
      <c r="AA25" s="4">
        <f t="shared" ref="AA25:AB33" si="24">+C25+F25+I25+L25+O25+R25</f>
        <v>777778227.54468668</v>
      </c>
      <c r="AB25" s="4" t="e">
        <f t="shared" si="24"/>
        <v>#VALUE!</v>
      </c>
      <c r="AC25" s="4" t="e">
        <f t="shared" ref="AC25:AC33" si="25">+AA25-AB25</f>
        <v>#VALUE!</v>
      </c>
      <c r="AD25" s="43" t="e">
        <f>+AC25/AA25*100</f>
        <v>#VALUE!</v>
      </c>
      <c r="AE25" s="34"/>
      <c r="AF25" s="38"/>
      <c r="AG25" s="38"/>
      <c r="AH25" s="2"/>
      <c r="AI25" s="37"/>
      <c r="AJ25" s="20"/>
      <c r="AK25" s="20"/>
      <c r="AL25" s="20"/>
      <c r="AM25" s="20"/>
    </row>
    <row r="26" spans="1:41" ht="60" x14ac:dyDescent="0.25">
      <c r="A26" s="21" t="s">
        <v>65</v>
      </c>
      <c r="B26" s="4">
        <v>254272041</v>
      </c>
      <c r="C26" s="4">
        <v>20972282.5</v>
      </c>
      <c r="D26" s="4">
        <v>0</v>
      </c>
      <c r="E26" s="4">
        <f t="shared" si="18"/>
        <v>20972282.5</v>
      </c>
      <c r="F26" s="4">
        <f>+'202501anual'!D54</f>
        <v>0</v>
      </c>
      <c r="G26" s="10">
        <v>0</v>
      </c>
      <c r="H26" s="4">
        <f t="shared" si="19"/>
        <v>0</v>
      </c>
      <c r="I26" s="4">
        <f>+'202501anual'!E54</f>
        <v>0</v>
      </c>
      <c r="J26" s="10">
        <v>0</v>
      </c>
      <c r="K26" s="4">
        <f t="shared" si="20"/>
        <v>0</v>
      </c>
      <c r="L26" s="4">
        <f>+'202501anual'!F54</f>
        <v>0</v>
      </c>
      <c r="M26" s="4" t="e">
        <f>+#REF!</f>
        <v>#REF!</v>
      </c>
      <c r="N26" s="4" t="e">
        <f t="shared" si="21"/>
        <v>#REF!</v>
      </c>
      <c r="O26" s="4">
        <f>+'202501anual'!G54</f>
        <v>0</v>
      </c>
      <c r="P26" s="10">
        <v>0</v>
      </c>
      <c r="Q26" s="4">
        <f t="shared" si="22"/>
        <v>0</v>
      </c>
      <c r="R26" s="4">
        <f>+'202501anual'!H54</f>
        <v>0</v>
      </c>
      <c r="S26" s="10">
        <v>0</v>
      </c>
      <c r="T26" s="4">
        <f t="shared" si="23"/>
        <v>0</v>
      </c>
      <c r="U26" s="10"/>
      <c r="V26" s="10"/>
      <c r="W26" s="10"/>
      <c r="X26" s="10"/>
      <c r="Y26" s="10"/>
      <c r="Z26" s="10"/>
      <c r="AA26" s="4">
        <f t="shared" si="24"/>
        <v>20972282.5</v>
      </c>
      <c r="AB26" s="4" t="e">
        <f t="shared" si="24"/>
        <v>#REF!</v>
      </c>
      <c r="AC26" s="4" t="e">
        <f t="shared" si="25"/>
        <v>#REF!</v>
      </c>
      <c r="AD26" s="43" t="e">
        <f t="shared" ref="AD26:AD31" si="26">+AC26/AA26*100</f>
        <v>#REF!</v>
      </c>
      <c r="AE26" s="34"/>
      <c r="AF26" s="38"/>
      <c r="AG26" s="38"/>
      <c r="AH26" s="2"/>
      <c r="AI26" s="37"/>
      <c r="AJ26" s="20"/>
      <c r="AK26" s="20"/>
    </row>
    <row r="27" spans="1:41" x14ac:dyDescent="0.25">
      <c r="A27" s="5" t="s">
        <v>16</v>
      </c>
      <c r="B27" s="4">
        <v>36000000</v>
      </c>
      <c r="C27" s="4">
        <f>40654560-28654560</f>
        <v>12000000</v>
      </c>
      <c r="D27" s="4">
        <v>31735</v>
      </c>
      <c r="E27" s="4">
        <f t="shared" si="18"/>
        <v>11968265</v>
      </c>
      <c r="F27" s="4">
        <f>+'202501anual'!D55</f>
        <v>0</v>
      </c>
      <c r="G27" s="4">
        <v>31735</v>
      </c>
      <c r="H27" s="4">
        <f t="shared" si="19"/>
        <v>-31735</v>
      </c>
      <c r="I27" s="4">
        <f>+'202501anual'!E55</f>
        <v>0</v>
      </c>
      <c r="J27" s="4" t="e">
        <f>+#REF!</f>
        <v>#REF!</v>
      </c>
      <c r="K27" s="4" t="e">
        <f t="shared" si="20"/>
        <v>#REF!</v>
      </c>
      <c r="L27" s="4">
        <f>+'202501anual'!F55</f>
        <v>0</v>
      </c>
      <c r="M27" s="4" t="e">
        <f>+#REF!</f>
        <v>#REF!</v>
      </c>
      <c r="N27" s="4" t="e">
        <f t="shared" si="21"/>
        <v>#REF!</v>
      </c>
      <c r="O27" s="4">
        <f>+'202501anual'!G55</f>
        <v>8000000</v>
      </c>
      <c r="P27" s="4" t="e">
        <f>+#REF!</f>
        <v>#REF!</v>
      </c>
      <c r="Q27" s="4" t="e">
        <f t="shared" si="22"/>
        <v>#REF!</v>
      </c>
      <c r="R27" s="4">
        <f>+'202501anual'!H55</f>
        <v>0</v>
      </c>
      <c r="S27" s="4" t="e">
        <f>+#REF!</f>
        <v>#REF!</v>
      </c>
      <c r="T27" s="4" t="e">
        <f t="shared" si="23"/>
        <v>#REF!</v>
      </c>
      <c r="U27" s="4"/>
      <c r="V27" s="4"/>
      <c r="W27" s="4"/>
      <c r="X27" s="4"/>
      <c r="Y27" s="4"/>
      <c r="Z27" s="4"/>
      <c r="AA27" s="4">
        <f t="shared" si="24"/>
        <v>20000000</v>
      </c>
      <c r="AB27" s="4" t="e">
        <f t="shared" si="24"/>
        <v>#REF!</v>
      </c>
      <c r="AC27" s="4" t="e">
        <f t="shared" si="25"/>
        <v>#REF!</v>
      </c>
      <c r="AD27" s="43" t="e">
        <f t="shared" si="26"/>
        <v>#REF!</v>
      </c>
      <c r="AE27" s="34"/>
      <c r="AF27" s="38"/>
      <c r="AG27" s="38"/>
      <c r="AH27" s="2"/>
      <c r="AI27" s="2"/>
    </row>
    <row r="28" spans="1:41" x14ac:dyDescent="0.25">
      <c r="A28" s="5" t="s">
        <v>17</v>
      </c>
      <c r="B28" s="46">
        <f>8582072214-7200000000-720000000</f>
        <v>662072214</v>
      </c>
      <c r="C28" s="4">
        <v>55867726.200000003</v>
      </c>
      <c r="D28" s="4">
        <v>1086170</v>
      </c>
      <c r="E28" s="4">
        <f t="shared" si="18"/>
        <v>54781556.200000003</v>
      </c>
      <c r="F28" s="4">
        <f>+'202501anual'!D58</f>
        <v>26500000</v>
      </c>
      <c r="G28" s="4">
        <f>63470+22169100</f>
        <v>22232570</v>
      </c>
      <c r="H28" s="4">
        <f t="shared" si="19"/>
        <v>4267430</v>
      </c>
      <c r="I28" s="4">
        <f>+'202501anual'!E58</f>
        <v>52200000</v>
      </c>
      <c r="J28" s="4" t="e">
        <f>+#REF!</f>
        <v>#REF!</v>
      </c>
      <c r="K28" s="4" t="e">
        <f t="shared" si="20"/>
        <v>#REF!</v>
      </c>
      <c r="L28" s="4">
        <f>+'202501anual'!F58</f>
        <v>52200000</v>
      </c>
      <c r="M28" s="4" t="e">
        <f>+#REF!</f>
        <v>#REF!</v>
      </c>
      <c r="N28" s="4" t="e">
        <f t="shared" si="21"/>
        <v>#REF!</v>
      </c>
      <c r="O28" s="4">
        <f>+'202501anual'!G58</f>
        <v>52200000</v>
      </c>
      <c r="P28" s="4" t="e">
        <f>+#REF!</f>
        <v>#REF!</v>
      </c>
      <c r="Q28" s="4" t="e">
        <f t="shared" si="22"/>
        <v>#REF!</v>
      </c>
      <c r="R28" s="46">
        <f>+'202501anual'!H58-7200000000-720000000</f>
        <v>-7867800000</v>
      </c>
      <c r="S28" s="4" t="e">
        <f>+#REF!</f>
        <v>#REF!</v>
      </c>
      <c r="T28" s="4" t="e">
        <f t="shared" si="23"/>
        <v>#REF!</v>
      </c>
      <c r="U28" s="4"/>
      <c r="V28" s="4"/>
      <c r="W28" s="4"/>
      <c r="X28" s="4"/>
      <c r="Y28" s="4"/>
      <c r="Z28" s="4"/>
      <c r="AA28" s="4">
        <f t="shared" si="24"/>
        <v>-7628832273.8000002</v>
      </c>
      <c r="AB28" s="4" t="e">
        <f t="shared" si="24"/>
        <v>#REF!</v>
      </c>
      <c r="AC28" s="4" t="e">
        <f t="shared" si="25"/>
        <v>#REF!</v>
      </c>
      <c r="AD28" s="43" t="e">
        <f t="shared" si="26"/>
        <v>#REF!</v>
      </c>
      <c r="AE28" s="34"/>
      <c r="AF28" s="38"/>
      <c r="AG28" s="38"/>
      <c r="AH28" s="2"/>
      <c r="AI28" s="2"/>
    </row>
    <row r="29" spans="1:41" x14ac:dyDescent="0.25">
      <c r="A29" s="5" t="s">
        <v>7</v>
      </c>
      <c r="B29" s="4">
        <f>1481563987+36650001</f>
        <v>1518213988</v>
      </c>
      <c r="C29" s="4">
        <v>95543915.599999994</v>
      </c>
      <c r="D29" s="4">
        <v>8641952</v>
      </c>
      <c r="E29" s="4">
        <f t="shared" si="18"/>
        <v>86901963.599999994</v>
      </c>
      <c r="F29" s="4">
        <f>+'202501anual'!D62</f>
        <v>14690000</v>
      </c>
      <c r="G29" s="4">
        <f>64000000+31775</f>
        <v>64031775</v>
      </c>
      <c r="H29" s="4">
        <f t="shared" si="19"/>
        <v>-49341775</v>
      </c>
      <c r="I29" s="4">
        <f>+'202501anual'!E62</f>
        <v>14690000</v>
      </c>
      <c r="J29" s="4" t="e">
        <f>+#REF!</f>
        <v>#REF!</v>
      </c>
      <c r="K29" s="4" t="e">
        <f t="shared" si="20"/>
        <v>#REF!</v>
      </c>
      <c r="L29" s="4">
        <f>+'202501anual'!F62</f>
        <v>15490000</v>
      </c>
      <c r="M29" s="4" t="e">
        <f>+#REF!</f>
        <v>#REF!</v>
      </c>
      <c r="N29" s="4" t="e">
        <f t="shared" si="21"/>
        <v>#REF!</v>
      </c>
      <c r="O29" s="4">
        <f>+'202501anual'!G62</f>
        <v>48490000</v>
      </c>
      <c r="P29" s="4" t="e">
        <f>+#REF!</f>
        <v>#REF!</v>
      </c>
      <c r="Q29" s="4" t="e">
        <f t="shared" si="22"/>
        <v>#REF!</v>
      </c>
      <c r="R29" s="4">
        <f>+'202501anual'!H62</f>
        <v>15490000</v>
      </c>
      <c r="S29" s="4" t="e">
        <f>+#REF!</f>
        <v>#REF!</v>
      </c>
      <c r="T29" s="4" t="e">
        <f t="shared" si="23"/>
        <v>#REF!</v>
      </c>
      <c r="U29" s="4"/>
      <c r="V29" s="4"/>
      <c r="W29" s="4"/>
      <c r="X29" s="4"/>
      <c r="Y29" s="4"/>
      <c r="Z29" s="4"/>
      <c r="AA29" s="4">
        <f t="shared" si="24"/>
        <v>204393915.59999999</v>
      </c>
      <c r="AB29" s="4" t="e">
        <f t="shared" si="24"/>
        <v>#REF!</v>
      </c>
      <c r="AC29" s="4" t="e">
        <f t="shared" si="25"/>
        <v>#REF!</v>
      </c>
      <c r="AD29" s="43" t="e">
        <f t="shared" si="26"/>
        <v>#REF!</v>
      </c>
      <c r="AE29" s="34"/>
      <c r="AF29" s="38"/>
      <c r="AG29" s="38"/>
      <c r="AH29" s="2"/>
      <c r="AI29" s="2"/>
    </row>
    <row r="30" spans="1:41" x14ac:dyDescent="0.25">
      <c r="A30" s="5" t="s">
        <v>57</v>
      </c>
      <c r="B30" s="46">
        <f>737281080-10000000-10000000</f>
        <v>717281080</v>
      </c>
      <c r="C30" s="4">
        <v>133706950</v>
      </c>
      <c r="D30" s="4">
        <v>117651</v>
      </c>
      <c r="E30" s="4">
        <f t="shared" si="18"/>
        <v>133589299</v>
      </c>
      <c r="F30" s="4">
        <f>+'202501anual'!D76</f>
        <v>8611000</v>
      </c>
      <c r="G30" s="4">
        <f>3454434+117651+3000000</f>
        <v>6572085</v>
      </c>
      <c r="H30" s="4">
        <f t="shared" si="19"/>
        <v>2038915</v>
      </c>
      <c r="I30" s="4">
        <f>+'202501anual'!E76</f>
        <v>7111000</v>
      </c>
      <c r="J30" s="4" t="e">
        <f>+#REF!</f>
        <v>#REF!</v>
      </c>
      <c r="K30" s="4" t="e">
        <f t="shared" si="20"/>
        <v>#REF!</v>
      </c>
      <c r="L30" s="4">
        <f>+'202501anual'!F76</f>
        <v>7111000</v>
      </c>
      <c r="M30" s="4" t="e">
        <f>+#REF!</f>
        <v>#REF!</v>
      </c>
      <c r="N30" s="4" t="e">
        <f t="shared" si="21"/>
        <v>#REF!</v>
      </c>
      <c r="O30" s="4">
        <f>+'202501anual'!G76</f>
        <v>7111000</v>
      </c>
      <c r="P30" s="4" t="e">
        <f>+#REF!</f>
        <v>#REF!</v>
      </c>
      <c r="Q30" s="4" t="e">
        <f t="shared" si="22"/>
        <v>#REF!</v>
      </c>
      <c r="R30" s="46">
        <f>+'202501anual'!H76-10000000-10000000</f>
        <v>-12889000</v>
      </c>
      <c r="S30" s="4" t="e">
        <f>+#REF!</f>
        <v>#REF!</v>
      </c>
      <c r="T30" s="4" t="e">
        <f t="shared" si="23"/>
        <v>#REF!</v>
      </c>
      <c r="U30" s="4"/>
      <c r="V30" s="4"/>
      <c r="W30" s="4"/>
      <c r="X30" s="4"/>
      <c r="Y30" s="4"/>
      <c r="Z30" s="4"/>
      <c r="AA30" s="4">
        <f t="shared" si="24"/>
        <v>150761950</v>
      </c>
      <c r="AB30" s="4" t="e">
        <f t="shared" si="24"/>
        <v>#REF!</v>
      </c>
      <c r="AC30" s="4" t="e">
        <f t="shared" si="25"/>
        <v>#REF!</v>
      </c>
      <c r="AD30" s="43" t="e">
        <f t="shared" si="26"/>
        <v>#REF!</v>
      </c>
      <c r="AE30" s="34"/>
      <c r="AF30" s="38"/>
      <c r="AG30" s="38"/>
      <c r="AH30" s="2"/>
      <c r="AI30" s="2"/>
    </row>
    <row r="31" spans="1:41" x14ac:dyDescent="0.25">
      <c r="A31" s="5" t="s">
        <v>66</v>
      </c>
      <c r="B31" s="4">
        <f>47254560+28654560</f>
        <v>75909120</v>
      </c>
      <c r="C31" s="4">
        <v>72609120</v>
      </c>
      <c r="D31" s="4">
        <v>0</v>
      </c>
      <c r="E31" s="4">
        <f t="shared" si="18"/>
        <v>72609120</v>
      </c>
      <c r="F31" s="4">
        <f>+'202501anual'!D83</f>
        <v>0</v>
      </c>
      <c r="G31" s="4">
        <v>0</v>
      </c>
      <c r="H31" s="4">
        <f t="shared" si="19"/>
        <v>0</v>
      </c>
      <c r="I31" s="4">
        <f>+'202501anual'!E83</f>
        <v>0</v>
      </c>
      <c r="J31" s="4">
        <v>0</v>
      </c>
      <c r="K31" s="4">
        <f t="shared" si="20"/>
        <v>0</v>
      </c>
      <c r="L31" s="4">
        <f>+'202501anual'!F83</f>
        <v>0</v>
      </c>
      <c r="M31" s="4">
        <v>0</v>
      </c>
      <c r="N31" s="4">
        <f t="shared" si="21"/>
        <v>0</v>
      </c>
      <c r="O31" s="4">
        <f>+'202501anual'!G83</f>
        <v>0</v>
      </c>
      <c r="P31" s="4">
        <v>0</v>
      </c>
      <c r="Q31" s="4">
        <f t="shared" si="22"/>
        <v>0</v>
      </c>
      <c r="R31" s="4">
        <f>+'202501anual'!H83</f>
        <v>0</v>
      </c>
      <c r="S31" s="4">
        <v>0</v>
      </c>
      <c r="T31" s="4">
        <f t="shared" si="23"/>
        <v>0</v>
      </c>
      <c r="U31" s="4"/>
      <c r="V31" s="4"/>
      <c r="W31" s="4"/>
      <c r="X31" s="4"/>
      <c r="Y31" s="4"/>
      <c r="Z31" s="4"/>
      <c r="AA31" s="4">
        <f t="shared" si="24"/>
        <v>72609120</v>
      </c>
      <c r="AB31" s="4">
        <f t="shared" si="24"/>
        <v>0</v>
      </c>
      <c r="AC31" s="4">
        <f t="shared" si="25"/>
        <v>72609120</v>
      </c>
      <c r="AD31" s="43">
        <f t="shared" si="26"/>
        <v>100</v>
      </c>
      <c r="AE31" s="34"/>
      <c r="AF31" s="38"/>
      <c r="AG31" s="38"/>
      <c r="AH31" s="2"/>
      <c r="AI31" s="2"/>
    </row>
    <row r="32" spans="1:41" x14ac:dyDescent="0.25">
      <c r="A32" s="5" t="s">
        <v>90</v>
      </c>
      <c r="B32" s="46">
        <f>1500000000-1500000000</f>
        <v>0</v>
      </c>
      <c r="C32" s="4">
        <v>0</v>
      </c>
      <c r="D32" s="4">
        <v>0</v>
      </c>
      <c r="E32" s="4">
        <f t="shared" si="18"/>
        <v>0</v>
      </c>
      <c r="F32" s="4" t="e">
        <f>+'202501anual'!#REF!</f>
        <v>#REF!</v>
      </c>
      <c r="G32" s="4">
        <v>0</v>
      </c>
      <c r="H32" s="4" t="e">
        <f t="shared" si="19"/>
        <v>#REF!</v>
      </c>
      <c r="I32" s="4" t="e">
        <f>+'202501anual'!#REF!</f>
        <v>#REF!</v>
      </c>
      <c r="J32" s="4">
        <v>0</v>
      </c>
      <c r="K32" s="4" t="e">
        <f t="shared" si="20"/>
        <v>#REF!</v>
      </c>
      <c r="L32" s="4" t="e">
        <f>+'202501anual'!#REF!</f>
        <v>#REF!</v>
      </c>
      <c r="M32" s="4">
        <v>0</v>
      </c>
      <c r="N32" s="4" t="e">
        <f t="shared" si="21"/>
        <v>#REF!</v>
      </c>
      <c r="O32" s="4" t="e">
        <f>+'202501anual'!#REF!</f>
        <v>#REF!</v>
      </c>
      <c r="P32" s="4">
        <v>0</v>
      </c>
      <c r="Q32" s="4" t="e">
        <f t="shared" si="22"/>
        <v>#REF!</v>
      </c>
      <c r="R32" s="46">
        <v>-1500000000</v>
      </c>
      <c r="S32" s="4">
        <v>0</v>
      </c>
      <c r="T32" s="4">
        <f t="shared" si="23"/>
        <v>-1500000000</v>
      </c>
      <c r="U32" s="4"/>
      <c r="V32" s="4"/>
      <c r="W32" s="4"/>
      <c r="X32" s="4"/>
      <c r="Y32" s="4"/>
      <c r="Z32" s="4"/>
      <c r="AA32" s="4" t="e">
        <f t="shared" si="24"/>
        <v>#REF!</v>
      </c>
      <c r="AB32" s="4">
        <f t="shared" si="24"/>
        <v>0</v>
      </c>
      <c r="AC32" s="4" t="e">
        <f t="shared" si="25"/>
        <v>#REF!</v>
      </c>
      <c r="AD32" s="43">
        <v>0</v>
      </c>
      <c r="AE32" s="34"/>
      <c r="AF32" s="38"/>
      <c r="AG32" s="38"/>
      <c r="AH32" s="2"/>
      <c r="AI32" s="2"/>
    </row>
    <row r="33" spans="1:38" x14ac:dyDescent="0.25">
      <c r="A33" s="5" t="s">
        <v>91</v>
      </c>
      <c r="B33" s="46">
        <f>150000000-150000000</f>
        <v>0</v>
      </c>
      <c r="C33" s="4">
        <v>0</v>
      </c>
      <c r="D33" s="4">
        <v>0</v>
      </c>
      <c r="E33" s="4">
        <f t="shared" si="18"/>
        <v>0</v>
      </c>
      <c r="F33" s="4" t="e">
        <f>+'202501anual'!#REF!</f>
        <v>#REF!</v>
      </c>
      <c r="G33" s="4">
        <v>0</v>
      </c>
      <c r="H33" s="4" t="e">
        <f t="shared" si="19"/>
        <v>#REF!</v>
      </c>
      <c r="I33" s="4" t="e">
        <f>+'202501anual'!#REF!</f>
        <v>#REF!</v>
      </c>
      <c r="J33" s="4">
        <v>0</v>
      </c>
      <c r="K33" s="4" t="e">
        <f t="shared" si="20"/>
        <v>#REF!</v>
      </c>
      <c r="L33" s="4" t="e">
        <f>+'202501anual'!#REF!</f>
        <v>#REF!</v>
      </c>
      <c r="M33" s="4">
        <v>0</v>
      </c>
      <c r="N33" s="4" t="e">
        <f t="shared" si="21"/>
        <v>#REF!</v>
      </c>
      <c r="O33" s="4" t="e">
        <f>+'202501anual'!#REF!</f>
        <v>#REF!</v>
      </c>
      <c r="P33" s="4">
        <v>0</v>
      </c>
      <c r="Q33" s="4" t="e">
        <f t="shared" si="22"/>
        <v>#REF!</v>
      </c>
      <c r="R33" s="46">
        <v>-150000000</v>
      </c>
      <c r="S33" s="4">
        <v>0</v>
      </c>
      <c r="T33" s="4">
        <f t="shared" si="23"/>
        <v>-150000000</v>
      </c>
      <c r="U33" s="4"/>
      <c r="V33" s="4"/>
      <c r="W33" s="4"/>
      <c r="X33" s="4"/>
      <c r="Y33" s="4"/>
      <c r="Z33" s="4"/>
      <c r="AA33" s="4" t="e">
        <f t="shared" si="24"/>
        <v>#REF!</v>
      </c>
      <c r="AB33" s="4">
        <f t="shared" si="24"/>
        <v>0</v>
      </c>
      <c r="AC33" s="4" t="e">
        <f t="shared" si="25"/>
        <v>#REF!</v>
      </c>
      <c r="AD33" s="43">
        <v>0</v>
      </c>
      <c r="AE33" s="34"/>
      <c r="AF33" s="38" t="e">
        <f>+Q34/O34*100</f>
        <v>#VALUE!</v>
      </c>
      <c r="AG33" s="38"/>
      <c r="AH33" s="2"/>
      <c r="AI33" s="2"/>
    </row>
    <row r="34" spans="1:38" x14ac:dyDescent="0.25">
      <c r="A34" s="12" t="s">
        <v>52</v>
      </c>
      <c r="B34" s="8">
        <f>SUM(B25:B33)</f>
        <v>4779801170</v>
      </c>
      <c r="C34" s="8">
        <f>SUM(C25:C33)</f>
        <v>517037721.69468665</v>
      </c>
      <c r="D34" s="8">
        <f t="shared" ref="D34:AA34" si="27">SUM(D25:D33)</f>
        <v>106145017.64</v>
      </c>
      <c r="E34" s="8">
        <f t="shared" si="27"/>
        <v>410892704.05468667</v>
      </c>
      <c r="F34" s="8" t="e">
        <f>SUM(F25:F33)</f>
        <v>#REF!</v>
      </c>
      <c r="G34" s="8">
        <f t="shared" si="27"/>
        <v>182692030.36000001</v>
      </c>
      <c r="H34" s="8" t="e">
        <f t="shared" si="27"/>
        <v>#REF!</v>
      </c>
      <c r="I34" s="8" t="e">
        <f t="shared" si="27"/>
        <v>#REF!</v>
      </c>
      <c r="J34" s="8" t="e">
        <f t="shared" si="27"/>
        <v>#REF!</v>
      </c>
      <c r="K34" s="8" t="e">
        <f t="shared" si="27"/>
        <v>#REF!</v>
      </c>
      <c r="L34" s="8" t="e">
        <f t="shared" si="27"/>
        <v>#REF!</v>
      </c>
      <c r="M34" s="8" t="e">
        <f t="shared" si="27"/>
        <v>#REF!</v>
      </c>
      <c r="N34" s="8" t="e">
        <f t="shared" si="27"/>
        <v>#REF!</v>
      </c>
      <c r="O34" s="8" t="e">
        <f t="shared" si="27"/>
        <v>#REF!</v>
      </c>
      <c r="P34" s="8" t="e">
        <f t="shared" si="27"/>
        <v>#REF!</v>
      </c>
      <c r="Q34" s="8" t="e">
        <f t="shared" si="27"/>
        <v>#VALUE!</v>
      </c>
      <c r="R34" s="8">
        <f t="shared" si="27"/>
        <v>-9384910899.9700012</v>
      </c>
      <c r="S34" s="8" t="e">
        <f t="shared" si="27"/>
        <v>#REF!</v>
      </c>
      <c r="T34" s="8" t="e">
        <f t="shared" si="27"/>
        <v>#REF!</v>
      </c>
      <c r="U34" s="8">
        <f t="shared" si="27"/>
        <v>0</v>
      </c>
      <c r="V34" s="8">
        <f t="shared" si="27"/>
        <v>0</v>
      </c>
      <c r="W34" s="8">
        <f t="shared" si="27"/>
        <v>0</v>
      </c>
      <c r="X34" s="8">
        <f t="shared" si="27"/>
        <v>0</v>
      </c>
      <c r="Y34" s="8">
        <f t="shared" si="27"/>
        <v>0</v>
      </c>
      <c r="Z34" s="8">
        <f t="shared" si="27"/>
        <v>0</v>
      </c>
      <c r="AA34" s="8" t="e">
        <f t="shared" si="27"/>
        <v>#REF!</v>
      </c>
      <c r="AB34" s="8" t="e">
        <f>SUM(AB25:AB33)</f>
        <v>#VALUE!</v>
      </c>
      <c r="AC34" s="8" t="e">
        <f>SUM(AC25:AC33)</f>
        <v>#VALUE!</v>
      </c>
      <c r="AD34" s="31" t="e">
        <f>+AC34/AA34</f>
        <v>#VALUE!</v>
      </c>
      <c r="AE34" s="34" t="e">
        <f>+H34/F34</f>
        <v>#REF!</v>
      </c>
      <c r="AF34" s="39">
        <f>100-63</f>
        <v>37</v>
      </c>
      <c r="AG34" s="45" t="e">
        <f>+N34/L34*100</f>
        <v>#REF!</v>
      </c>
      <c r="AH34" s="2"/>
    </row>
    <row r="35" spans="1:38" x14ac:dyDescent="0.25">
      <c r="A35" s="5" t="s">
        <v>54</v>
      </c>
      <c r="B35" s="4">
        <v>315108512</v>
      </c>
      <c r="C35" s="4">
        <v>26259042.681200095</v>
      </c>
      <c r="D35" s="4">
        <v>20905207</v>
      </c>
      <c r="E35" s="4">
        <f t="shared" si="18"/>
        <v>5353835.6812000945</v>
      </c>
      <c r="F35" s="4">
        <f>+'202501anual'!D85</f>
        <v>32353631.851754691</v>
      </c>
      <c r="G35" s="4">
        <f>27167981-[2]Resultados2023!$C$130-4802535</f>
        <v>22015542</v>
      </c>
      <c r="H35" s="4">
        <f t="shared" si="19"/>
        <v>10338089.851754691</v>
      </c>
      <c r="I35" s="4">
        <f>+'202501anual'!E85</f>
        <v>32353631.851754691</v>
      </c>
      <c r="J35" s="4">
        <f>45708144.09-J36-1028181</f>
        <v>22383681.090000004</v>
      </c>
      <c r="K35" s="4">
        <f t="shared" ref="K35:K86" si="28">+I35-J35</f>
        <v>9969950.7617546879</v>
      </c>
      <c r="L35" s="4">
        <f>+'202501anual'!F85</f>
        <v>32353631.851754691</v>
      </c>
      <c r="M35" s="4">
        <f>32442461-4802535</f>
        <v>27639926</v>
      </c>
      <c r="N35" s="4">
        <f t="shared" ref="N35:N86" si="29">+L35-M35</f>
        <v>4713705.8517546915</v>
      </c>
      <c r="O35" s="4">
        <f>+'202501anual'!G85</f>
        <v>32353631.851754691</v>
      </c>
      <c r="P35" s="4">
        <v>27521103</v>
      </c>
      <c r="Q35" s="4">
        <f t="shared" ref="Q35:Q86" si="30">+O35-P35</f>
        <v>4832528.8517546915</v>
      </c>
      <c r="R35" s="4">
        <f>+'202501anual'!H85</f>
        <v>32353631.851754691</v>
      </c>
      <c r="S35" s="4"/>
      <c r="T35" s="4">
        <f t="shared" ref="T35:T86" si="31">+R35-S35</f>
        <v>32353631.851754691</v>
      </c>
      <c r="U35" s="4"/>
      <c r="V35" s="4"/>
      <c r="W35" s="4"/>
      <c r="X35" s="4"/>
      <c r="Y35" s="4"/>
      <c r="Z35" s="4"/>
      <c r="AA35" s="4">
        <f t="shared" ref="AA35:AB86" si="32">+C35+F35+I35+L35+O35+R35</f>
        <v>188027201.93997356</v>
      </c>
      <c r="AB35" s="4">
        <f t="shared" si="32"/>
        <v>120465459.09</v>
      </c>
      <c r="AC35" s="4">
        <f t="shared" ref="AC35:AC86" si="33">+AA35-AB35</f>
        <v>67561742.849973559</v>
      </c>
      <c r="AD35" s="43">
        <f t="shared" ref="AD35:AD86" si="34">+AC35/AA35*100</f>
        <v>35.931898232226104</v>
      </c>
      <c r="AE35" s="34"/>
      <c r="AF35" s="38"/>
      <c r="AG35" s="38"/>
      <c r="AH35" s="2"/>
      <c r="AI35" s="2"/>
      <c r="AL35" s="2"/>
    </row>
    <row r="36" spans="1:38" x14ac:dyDescent="0.25">
      <c r="A36" s="5" t="s">
        <v>55</v>
      </c>
      <c r="B36" s="4">
        <v>229762301</v>
      </c>
      <c r="C36" s="4">
        <v>19146858.412866898</v>
      </c>
      <c r="D36" s="4">
        <v>18068114</v>
      </c>
      <c r="E36" s="4">
        <f t="shared" si="18"/>
        <v>1078744.4128668979</v>
      </c>
      <c r="F36" s="4">
        <f>+'202501anual'!D86</f>
        <v>23841295.012089472</v>
      </c>
      <c r="G36" s="4">
        <f>16820292+4802535</f>
        <v>21622827</v>
      </c>
      <c r="H36" s="4">
        <f t="shared" si="19"/>
        <v>2218468.0120894723</v>
      </c>
      <c r="I36" s="4">
        <f>+'202501anual'!E86</f>
        <v>23841295.012089472</v>
      </c>
      <c r="J36" s="4">
        <f>17493747+4802535</f>
        <v>22296282</v>
      </c>
      <c r="K36" s="4">
        <f t="shared" si="28"/>
        <v>1545013.0120894723</v>
      </c>
      <c r="L36" s="4">
        <f>+'202501anual'!F86</f>
        <v>23841295.012089472</v>
      </c>
      <c r="M36" s="4">
        <f>18669307+4802535</f>
        <v>23471842</v>
      </c>
      <c r="N36" s="4">
        <f t="shared" si="29"/>
        <v>369453.01208947226</v>
      </c>
      <c r="O36" s="4">
        <f>+'202501anual'!G86</f>
        <v>23841295.012089472</v>
      </c>
      <c r="P36" s="4">
        <v>23370937.437838003</v>
      </c>
      <c r="Q36" s="4">
        <f t="shared" si="30"/>
        <v>470357.57425146922</v>
      </c>
      <c r="R36" s="4">
        <f>+'202501anual'!H86</f>
        <v>23841295.012089472</v>
      </c>
      <c r="S36" s="4"/>
      <c r="T36" s="4">
        <f t="shared" si="31"/>
        <v>23841295.012089472</v>
      </c>
      <c r="U36" s="4"/>
      <c r="V36" s="4"/>
      <c r="W36" s="4"/>
      <c r="X36" s="4"/>
      <c r="Y36" s="4"/>
      <c r="Z36" s="4"/>
      <c r="AA36" s="4">
        <f t="shared" si="32"/>
        <v>138353333.47331426</v>
      </c>
      <c r="AB36" s="4">
        <f t="shared" si="32"/>
        <v>108830002.437838</v>
      </c>
      <c r="AC36" s="4">
        <f t="shared" si="33"/>
        <v>29523331.035476252</v>
      </c>
      <c r="AD36" s="43">
        <f t="shared" si="34"/>
        <v>21.339081823547637</v>
      </c>
      <c r="AE36" s="34"/>
      <c r="AF36" s="38"/>
      <c r="AG36" s="38"/>
      <c r="AH36" s="2"/>
      <c r="AI36" s="2"/>
      <c r="AL36" s="2"/>
    </row>
    <row r="37" spans="1:38" x14ac:dyDescent="0.25">
      <c r="A37" s="5" t="s">
        <v>88</v>
      </c>
      <c r="B37" s="4">
        <v>2000000</v>
      </c>
      <c r="C37" s="4">
        <v>0</v>
      </c>
      <c r="D37" s="4">
        <v>0</v>
      </c>
      <c r="E37" s="4">
        <f t="shared" si="18"/>
        <v>0</v>
      </c>
      <c r="F37" s="4">
        <f>+'202501anual'!D87</f>
        <v>20000000</v>
      </c>
      <c r="G37" s="4">
        <v>0</v>
      </c>
      <c r="H37" s="4">
        <f t="shared" si="19"/>
        <v>20000000</v>
      </c>
      <c r="I37" s="4">
        <f>+'202501anual'!E87</f>
        <v>0</v>
      </c>
      <c r="J37" s="4"/>
      <c r="K37" s="4">
        <f t="shared" si="28"/>
        <v>0</v>
      </c>
      <c r="L37" s="4">
        <f>+'202501anual'!F87</f>
        <v>0</v>
      </c>
      <c r="M37" s="4">
        <v>0</v>
      </c>
      <c r="N37" s="4">
        <f t="shared" si="29"/>
        <v>0</v>
      </c>
      <c r="O37" s="4">
        <f>+'202501anual'!G87</f>
        <v>0</v>
      </c>
      <c r="P37" s="4">
        <v>0</v>
      </c>
      <c r="Q37" s="4">
        <f t="shared" si="30"/>
        <v>0</v>
      </c>
      <c r="R37" s="4">
        <f>+'202501anual'!H87</f>
        <v>0</v>
      </c>
      <c r="S37" s="4"/>
      <c r="T37" s="4">
        <f t="shared" si="31"/>
        <v>0</v>
      </c>
      <c r="U37" s="4"/>
      <c r="V37" s="4"/>
      <c r="W37" s="4"/>
      <c r="X37" s="4"/>
      <c r="Y37" s="4"/>
      <c r="Z37" s="4"/>
      <c r="AA37" s="4">
        <f t="shared" si="32"/>
        <v>20000000</v>
      </c>
      <c r="AB37" s="4">
        <f t="shared" si="32"/>
        <v>0</v>
      </c>
      <c r="AC37" s="4">
        <f t="shared" si="33"/>
        <v>20000000</v>
      </c>
      <c r="AD37" s="43">
        <v>0</v>
      </c>
      <c r="AE37" s="34"/>
      <c r="AF37" s="38"/>
      <c r="AG37" s="38"/>
      <c r="AH37" s="2"/>
      <c r="AI37" s="2"/>
      <c r="AL37" s="2"/>
    </row>
    <row r="38" spans="1:38" x14ac:dyDescent="0.25">
      <c r="A38" s="5" t="s">
        <v>18</v>
      </c>
      <c r="B38" s="4">
        <v>12120000</v>
      </c>
      <c r="C38" s="4">
        <v>760000</v>
      </c>
      <c r="D38" s="4">
        <v>794000</v>
      </c>
      <c r="E38" s="4">
        <f t="shared" si="18"/>
        <v>-34000</v>
      </c>
      <c r="F38" s="4">
        <f>+'202501anual'!D88</f>
        <v>5000000</v>
      </c>
      <c r="G38" s="4">
        <v>794000</v>
      </c>
      <c r="H38" s="4">
        <f t="shared" si="19"/>
        <v>4206000</v>
      </c>
      <c r="I38" s="4">
        <f>+'202501anual'!E88</f>
        <v>1500000</v>
      </c>
      <c r="J38" s="4">
        <f>+[6]EjecucionPptalPasiva!$Q$276</f>
        <v>794000</v>
      </c>
      <c r="K38" s="4">
        <f t="shared" si="28"/>
        <v>706000</v>
      </c>
      <c r="L38" s="4">
        <f>+'202501anual'!F88</f>
        <v>1500000</v>
      </c>
      <c r="M38" s="4">
        <f>+[5]EjecucionPptalPasiva!$Q$276</f>
        <v>794000</v>
      </c>
      <c r="N38" s="4">
        <f t="shared" si="29"/>
        <v>706000</v>
      </c>
      <c r="O38" s="4">
        <f>+'202501anual'!G88</f>
        <v>1500000</v>
      </c>
      <c r="P38" s="4">
        <v>794000</v>
      </c>
      <c r="Q38" s="4">
        <f t="shared" si="30"/>
        <v>706000</v>
      </c>
      <c r="R38" s="4">
        <f>+'202501anual'!H88</f>
        <v>1500000</v>
      </c>
      <c r="S38" s="4"/>
      <c r="T38" s="4">
        <f t="shared" si="31"/>
        <v>1500000</v>
      </c>
      <c r="U38" s="4"/>
      <c r="V38" s="4"/>
      <c r="W38" s="4"/>
      <c r="X38" s="4"/>
      <c r="Y38" s="4"/>
      <c r="Z38" s="4"/>
      <c r="AA38" s="4">
        <f t="shared" si="32"/>
        <v>11760000</v>
      </c>
      <c r="AB38" s="4">
        <f t="shared" si="32"/>
        <v>3970000</v>
      </c>
      <c r="AC38" s="4">
        <f t="shared" si="33"/>
        <v>7790000</v>
      </c>
      <c r="AD38" s="43">
        <f t="shared" si="34"/>
        <v>66.241496598639458</v>
      </c>
      <c r="AE38" s="34"/>
      <c r="AF38" s="38"/>
      <c r="AG38" s="38"/>
      <c r="AH38" s="2"/>
      <c r="AI38" s="2"/>
    </row>
    <row r="39" spans="1:38" x14ac:dyDescent="0.25">
      <c r="A39" s="5" t="s">
        <v>71</v>
      </c>
      <c r="B39" s="4">
        <v>10000000</v>
      </c>
      <c r="C39" s="4">
        <v>0</v>
      </c>
      <c r="D39" s="4">
        <v>0</v>
      </c>
      <c r="E39" s="4">
        <f t="shared" si="18"/>
        <v>0</v>
      </c>
      <c r="F39" s="4">
        <f>+'202501anual'!D89</f>
        <v>600000</v>
      </c>
      <c r="G39" s="4">
        <v>0</v>
      </c>
      <c r="H39" s="4">
        <f t="shared" si="19"/>
        <v>600000</v>
      </c>
      <c r="I39" s="4">
        <f>+'202501anual'!E89</f>
        <v>600000</v>
      </c>
      <c r="J39" s="4"/>
      <c r="K39" s="4">
        <f t="shared" si="28"/>
        <v>600000</v>
      </c>
      <c r="L39" s="4">
        <f>+'202501anual'!F89</f>
        <v>600000</v>
      </c>
      <c r="M39" s="4">
        <v>0</v>
      </c>
      <c r="N39" s="4">
        <f t="shared" si="29"/>
        <v>600000</v>
      </c>
      <c r="O39" s="4">
        <f>+'202501anual'!G89</f>
        <v>600000</v>
      </c>
      <c r="P39" s="4">
        <v>0</v>
      </c>
      <c r="Q39" s="4">
        <f t="shared" si="30"/>
        <v>600000</v>
      </c>
      <c r="R39" s="4">
        <f>+'202501anual'!H89</f>
        <v>600000</v>
      </c>
      <c r="S39" s="4"/>
      <c r="T39" s="4">
        <f t="shared" si="31"/>
        <v>600000</v>
      </c>
      <c r="U39" s="4"/>
      <c r="V39" s="4"/>
      <c r="W39" s="4"/>
      <c r="X39" s="4"/>
      <c r="Y39" s="4"/>
      <c r="Z39" s="4"/>
      <c r="AA39" s="4">
        <f t="shared" si="32"/>
        <v>3000000</v>
      </c>
      <c r="AB39" s="4">
        <f t="shared" si="32"/>
        <v>0</v>
      </c>
      <c r="AC39" s="4">
        <f t="shared" si="33"/>
        <v>3000000</v>
      </c>
      <c r="AD39" s="43">
        <v>0</v>
      </c>
      <c r="AE39" s="34"/>
      <c r="AF39" s="38"/>
      <c r="AG39" s="38"/>
      <c r="AH39" s="2"/>
      <c r="AI39" s="2"/>
    </row>
    <row r="40" spans="1:38" x14ac:dyDescent="0.25">
      <c r="A40" s="5" t="s">
        <v>84</v>
      </c>
      <c r="B40" s="4">
        <v>13500000</v>
      </c>
      <c r="C40" s="4">
        <v>0</v>
      </c>
      <c r="D40" s="4">
        <v>0</v>
      </c>
      <c r="E40" s="4">
        <f t="shared" si="18"/>
        <v>0</v>
      </c>
      <c r="F40" s="4">
        <f>+'202501anual'!D90</f>
        <v>0</v>
      </c>
      <c r="G40" s="4">
        <v>0</v>
      </c>
      <c r="H40" s="4">
        <f t="shared" si="19"/>
        <v>0</v>
      </c>
      <c r="I40" s="4">
        <f>+'202501anual'!E90</f>
        <v>0</v>
      </c>
      <c r="J40" s="4"/>
      <c r="K40" s="4">
        <f t="shared" si="28"/>
        <v>0</v>
      </c>
      <c r="L40" s="4">
        <f>+'202501anual'!F90</f>
        <v>0</v>
      </c>
      <c r="M40" s="4">
        <v>0</v>
      </c>
      <c r="N40" s="4">
        <f t="shared" si="29"/>
        <v>0</v>
      </c>
      <c r="O40" s="4">
        <f>+'202501anual'!G90</f>
        <v>0</v>
      </c>
      <c r="P40" s="4">
        <v>0</v>
      </c>
      <c r="Q40" s="4">
        <f t="shared" si="30"/>
        <v>0</v>
      </c>
      <c r="R40" s="4">
        <f>+'202501anual'!H90</f>
        <v>450000</v>
      </c>
      <c r="S40" s="4"/>
      <c r="T40" s="4">
        <f t="shared" si="31"/>
        <v>450000</v>
      </c>
      <c r="U40" s="4"/>
      <c r="V40" s="4"/>
      <c r="W40" s="4"/>
      <c r="X40" s="4"/>
      <c r="Y40" s="4"/>
      <c r="Z40" s="4"/>
      <c r="AA40" s="4">
        <f t="shared" si="32"/>
        <v>450000</v>
      </c>
      <c r="AB40" s="4">
        <f t="shared" si="32"/>
        <v>0</v>
      </c>
      <c r="AC40" s="4">
        <f t="shared" si="33"/>
        <v>450000</v>
      </c>
      <c r="AD40" s="43">
        <v>0</v>
      </c>
      <c r="AE40" s="34"/>
      <c r="AF40" s="38"/>
      <c r="AG40" s="38"/>
      <c r="AH40" s="2"/>
      <c r="AI40" s="2"/>
    </row>
    <row r="41" spans="1:38" x14ac:dyDescent="0.25">
      <c r="A41" s="5" t="s">
        <v>19</v>
      </c>
      <c r="B41" s="4">
        <v>134400000</v>
      </c>
      <c r="C41" s="4">
        <v>11200000</v>
      </c>
      <c r="D41" s="4">
        <v>10666000</v>
      </c>
      <c r="E41" s="4">
        <f t="shared" si="18"/>
        <v>534000</v>
      </c>
      <c r="F41" s="4">
        <f>+'202501anual'!D91</f>
        <v>12130000</v>
      </c>
      <c r="G41" s="4">
        <v>10666000</v>
      </c>
      <c r="H41" s="4">
        <f t="shared" si="19"/>
        <v>1464000</v>
      </c>
      <c r="I41" s="4">
        <f>+'202501anual'!E91</f>
        <v>12130000</v>
      </c>
      <c r="J41" s="4">
        <f>+[6]EjecucionPptalPasiva!$Q$289+[6]EjecucionPptalPasiva!$Q$294</f>
        <v>10666000</v>
      </c>
      <c r="K41" s="4">
        <f t="shared" si="28"/>
        <v>1464000</v>
      </c>
      <c r="L41" s="4">
        <f>+'202501anual'!F91</f>
        <v>12130000</v>
      </c>
      <c r="M41" s="4">
        <f>+[5]EjecucionPptalPasiva!$Q$289+[5]EjecucionPptalPasiva!$Q$294</f>
        <v>10666000</v>
      </c>
      <c r="N41" s="4">
        <f t="shared" si="29"/>
        <v>1464000</v>
      </c>
      <c r="O41" s="4">
        <f>+'202501anual'!G91</f>
        <v>12130000</v>
      </c>
      <c r="P41" s="4">
        <v>10666000</v>
      </c>
      <c r="Q41" s="4">
        <f t="shared" si="30"/>
        <v>1464000</v>
      </c>
      <c r="R41" s="4">
        <f>+'202501anual'!H91</f>
        <v>12130000</v>
      </c>
      <c r="S41" s="4"/>
      <c r="T41" s="4">
        <f t="shared" si="31"/>
        <v>12130000</v>
      </c>
      <c r="U41" s="4"/>
      <c r="V41" s="4"/>
      <c r="W41" s="4"/>
      <c r="X41" s="4"/>
      <c r="Y41" s="4"/>
      <c r="Z41" s="4"/>
      <c r="AA41" s="4">
        <f t="shared" si="32"/>
        <v>71850000</v>
      </c>
      <c r="AB41" s="4">
        <f t="shared" si="32"/>
        <v>53330000</v>
      </c>
      <c r="AC41" s="4">
        <f t="shared" si="33"/>
        <v>18520000</v>
      </c>
      <c r="AD41" s="43">
        <f t="shared" si="34"/>
        <v>25.775922059846902</v>
      </c>
      <c r="AE41" s="34"/>
      <c r="AF41" s="38"/>
      <c r="AG41" s="38"/>
      <c r="AH41" s="2"/>
      <c r="AI41" s="2"/>
    </row>
    <row r="42" spans="1:38" ht="30" x14ac:dyDescent="0.25">
      <c r="A42" s="21" t="s">
        <v>89</v>
      </c>
      <c r="B42" s="4">
        <v>27000000</v>
      </c>
      <c r="C42" s="4">
        <v>0</v>
      </c>
      <c r="D42" s="4">
        <v>0</v>
      </c>
      <c r="E42" s="4">
        <f t="shared" si="18"/>
        <v>0</v>
      </c>
      <c r="F42" s="4">
        <f>+'202501anual'!D92</f>
        <v>0</v>
      </c>
      <c r="G42" s="4">
        <v>3450000</v>
      </c>
      <c r="H42" s="4">
        <f t="shared" si="19"/>
        <v>-3450000</v>
      </c>
      <c r="I42" s="4">
        <f>+'202501anual'!E92</f>
        <v>3000000</v>
      </c>
      <c r="J42" s="4"/>
      <c r="K42" s="4">
        <f t="shared" si="28"/>
        <v>3000000</v>
      </c>
      <c r="L42" s="4">
        <f>+'202501anual'!F92</f>
        <v>3000000</v>
      </c>
      <c r="M42" s="4">
        <v>0</v>
      </c>
      <c r="N42" s="4">
        <f t="shared" si="29"/>
        <v>3000000</v>
      </c>
      <c r="O42" s="4">
        <f>+'202501anual'!G92</f>
        <v>6000000</v>
      </c>
      <c r="P42" s="4">
        <v>0</v>
      </c>
      <c r="Q42" s="4">
        <f t="shared" si="30"/>
        <v>6000000</v>
      </c>
      <c r="R42" s="4">
        <f>+'202501anual'!H92</f>
        <v>3000000</v>
      </c>
      <c r="S42" s="4"/>
      <c r="T42" s="4">
        <f t="shared" si="31"/>
        <v>3000000</v>
      </c>
      <c r="U42" s="4"/>
      <c r="V42" s="4"/>
      <c r="W42" s="4"/>
      <c r="X42" s="4"/>
      <c r="Y42" s="4"/>
      <c r="Z42" s="4"/>
      <c r="AA42" s="4">
        <f t="shared" si="32"/>
        <v>15000000</v>
      </c>
      <c r="AB42" s="4">
        <f t="shared" si="32"/>
        <v>3450000</v>
      </c>
      <c r="AC42" s="4">
        <f t="shared" si="33"/>
        <v>11550000</v>
      </c>
      <c r="AD42" s="43">
        <v>0</v>
      </c>
      <c r="AE42" s="34"/>
      <c r="AF42" s="38"/>
      <c r="AG42" s="38"/>
      <c r="AH42" s="2"/>
      <c r="AI42" s="2"/>
    </row>
    <row r="43" spans="1:38" x14ac:dyDescent="0.25">
      <c r="A43" s="5" t="s">
        <v>72</v>
      </c>
      <c r="B43" s="4">
        <v>93058000</v>
      </c>
      <c r="C43" s="4">
        <v>5760000</v>
      </c>
      <c r="D43" s="4">
        <v>2176000</v>
      </c>
      <c r="E43" s="4">
        <f t="shared" si="18"/>
        <v>3584000</v>
      </c>
      <c r="F43" s="4">
        <f>+'202501anual'!D93</f>
        <v>4645000</v>
      </c>
      <c r="G43" s="4">
        <v>2582989</v>
      </c>
      <c r="H43" s="4">
        <f t="shared" si="19"/>
        <v>2062011</v>
      </c>
      <c r="I43" s="4">
        <f>+'202501anual'!E93</f>
        <v>4645000</v>
      </c>
      <c r="J43" s="4">
        <f>+[6]EjecucionPptalPasiva!$Q$290+[6]EjecucionPptalPasiva!$Q$295</f>
        <v>2694465</v>
      </c>
      <c r="K43" s="4">
        <f t="shared" si="28"/>
        <v>1950535</v>
      </c>
      <c r="L43" s="4">
        <f>+'202501anual'!F93</f>
        <v>4645000</v>
      </c>
      <c r="M43" s="4">
        <f>+[5]EjecucionPptalPasiva!$Q$290+[5]EjecucionPptalPasiva!$Q$295</f>
        <v>2686418</v>
      </c>
      <c r="N43" s="4">
        <f t="shared" si="29"/>
        <v>1958582</v>
      </c>
      <c r="O43" s="4">
        <f>+'202501anual'!G93</f>
        <v>4645000</v>
      </c>
      <c r="P43" s="4">
        <v>2813343.24</v>
      </c>
      <c r="Q43" s="4">
        <f t="shared" si="30"/>
        <v>1831656.7599999998</v>
      </c>
      <c r="R43" s="4">
        <f>+'202501anual'!H93</f>
        <v>4645000</v>
      </c>
      <c r="S43" s="4"/>
      <c r="T43" s="4">
        <f t="shared" si="31"/>
        <v>4645000</v>
      </c>
      <c r="U43" s="4"/>
      <c r="V43" s="4"/>
      <c r="W43" s="4"/>
      <c r="X43" s="4"/>
      <c r="Y43" s="4"/>
      <c r="Z43" s="4"/>
      <c r="AA43" s="4">
        <f t="shared" si="32"/>
        <v>28985000</v>
      </c>
      <c r="AB43" s="4">
        <f t="shared" si="32"/>
        <v>12953215.24</v>
      </c>
      <c r="AC43" s="4">
        <f t="shared" si="33"/>
        <v>16031784.76</v>
      </c>
      <c r="AD43" s="43">
        <f t="shared" si="34"/>
        <v>55.310625357943763</v>
      </c>
      <c r="AE43" s="34"/>
      <c r="AF43" s="38"/>
      <c r="AG43" s="38"/>
      <c r="AH43" s="2"/>
      <c r="AI43" s="2"/>
    </row>
    <row r="44" spans="1:38" ht="60" x14ac:dyDescent="0.25">
      <c r="A44" s="21" t="s">
        <v>65</v>
      </c>
      <c r="B44" s="4">
        <v>10140000</v>
      </c>
      <c r="C44" s="4">
        <v>3980000</v>
      </c>
      <c r="D44" s="4">
        <v>0</v>
      </c>
      <c r="E44" s="4">
        <f t="shared" si="18"/>
        <v>3980000</v>
      </c>
      <c r="F44" s="4">
        <f>+'202501anual'!D94</f>
        <v>0</v>
      </c>
      <c r="G44" s="4">
        <v>0</v>
      </c>
      <c r="H44" s="4">
        <f t="shared" si="19"/>
        <v>0</v>
      </c>
      <c r="I44" s="4">
        <f>+'202501anual'!E94</f>
        <v>0</v>
      </c>
      <c r="J44" s="4"/>
      <c r="K44" s="4">
        <f t="shared" si="28"/>
        <v>0</v>
      </c>
      <c r="L44" s="4">
        <f>+'202501anual'!F94</f>
        <v>52800000</v>
      </c>
      <c r="M44" s="4">
        <f>+[5]EjecucionPptalPasiva!$O$228</f>
        <v>593000</v>
      </c>
      <c r="N44" s="4">
        <f t="shared" si="29"/>
        <v>52207000</v>
      </c>
      <c r="O44" s="4">
        <f>+'202501anual'!G94</f>
        <v>0</v>
      </c>
      <c r="P44" s="4">
        <v>0</v>
      </c>
      <c r="Q44" s="4">
        <f t="shared" si="30"/>
        <v>0</v>
      </c>
      <c r="R44" s="4">
        <f>+'202501anual'!H94</f>
        <v>0</v>
      </c>
      <c r="S44" s="4">
        <v>0</v>
      </c>
      <c r="T44" s="4">
        <f t="shared" si="31"/>
        <v>0</v>
      </c>
      <c r="U44" s="4"/>
      <c r="V44" s="4"/>
      <c r="W44" s="4"/>
      <c r="X44" s="4"/>
      <c r="Y44" s="4"/>
      <c r="Z44" s="4"/>
      <c r="AA44" s="4">
        <f t="shared" si="32"/>
        <v>56780000</v>
      </c>
      <c r="AB44" s="4">
        <f t="shared" si="32"/>
        <v>593000</v>
      </c>
      <c r="AC44" s="4">
        <f t="shared" si="33"/>
        <v>56187000</v>
      </c>
      <c r="AD44" s="43">
        <f t="shared" si="34"/>
        <v>98.955618175413875</v>
      </c>
      <c r="AE44" s="34"/>
      <c r="AF44" s="38"/>
      <c r="AG44" s="38"/>
      <c r="AH44" s="2"/>
      <c r="AI44" s="2"/>
    </row>
    <row r="45" spans="1:38" ht="45" x14ac:dyDescent="0.25">
      <c r="A45" s="21" t="s">
        <v>20</v>
      </c>
      <c r="B45" s="4">
        <v>4000000</v>
      </c>
      <c r="C45" s="4">
        <v>0</v>
      </c>
      <c r="D45" s="4">
        <v>0</v>
      </c>
      <c r="E45" s="4">
        <f t="shared" si="18"/>
        <v>0</v>
      </c>
      <c r="F45" s="4">
        <f>+'202501anual'!D95</f>
        <v>0</v>
      </c>
      <c r="G45" s="4">
        <v>0</v>
      </c>
      <c r="H45" s="4">
        <f t="shared" si="19"/>
        <v>0</v>
      </c>
      <c r="I45" s="4">
        <f>+'202501anual'!E95</f>
        <v>0</v>
      </c>
      <c r="J45" s="4"/>
      <c r="K45" s="4">
        <f t="shared" si="28"/>
        <v>0</v>
      </c>
      <c r="L45" s="4">
        <f>+'202501anual'!F95</f>
        <v>0</v>
      </c>
      <c r="M45" s="4">
        <v>0</v>
      </c>
      <c r="N45" s="4">
        <f t="shared" si="29"/>
        <v>0</v>
      </c>
      <c r="O45" s="4">
        <f>+'202501anual'!G95</f>
        <v>0</v>
      </c>
      <c r="P45" s="4">
        <v>0</v>
      </c>
      <c r="Q45" s="4">
        <f t="shared" si="30"/>
        <v>0</v>
      </c>
      <c r="R45" s="4">
        <f>+'202501anual'!H95</f>
        <v>0</v>
      </c>
      <c r="S45" s="4">
        <v>0</v>
      </c>
      <c r="T45" s="4">
        <f t="shared" si="31"/>
        <v>0</v>
      </c>
      <c r="U45" s="4"/>
      <c r="V45" s="4"/>
      <c r="W45" s="4"/>
      <c r="X45" s="4"/>
      <c r="Y45" s="4"/>
      <c r="Z45" s="4"/>
      <c r="AA45" s="4">
        <f t="shared" si="32"/>
        <v>0</v>
      </c>
      <c r="AB45" s="4">
        <f t="shared" si="32"/>
        <v>0</v>
      </c>
      <c r="AC45" s="4">
        <f t="shared" si="33"/>
        <v>0</v>
      </c>
      <c r="AD45" s="43">
        <v>0</v>
      </c>
      <c r="AE45" s="34"/>
      <c r="AF45" s="38"/>
      <c r="AG45" s="38"/>
      <c r="AH45" s="2"/>
      <c r="AI45" s="2"/>
    </row>
    <row r="46" spans="1:38" x14ac:dyDescent="0.25">
      <c r="A46" s="5" t="s">
        <v>21</v>
      </c>
      <c r="B46" s="4">
        <v>13200000</v>
      </c>
      <c r="C46" s="4">
        <v>500000</v>
      </c>
      <c r="D46" s="4">
        <v>0</v>
      </c>
      <c r="E46" s="4">
        <f t="shared" si="18"/>
        <v>500000</v>
      </c>
      <c r="F46" s="4">
        <f>+'202501anual'!D96</f>
        <v>0</v>
      </c>
      <c r="G46" s="4"/>
      <c r="H46" s="4">
        <f t="shared" si="19"/>
        <v>0</v>
      </c>
      <c r="I46" s="4">
        <f>+'202501anual'!E96</f>
        <v>0</v>
      </c>
      <c r="J46" s="4"/>
      <c r="K46" s="4">
        <f t="shared" si="28"/>
        <v>0</v>
      </c>
      <c r="L46" s="4">
        <f>+'202501anual'!F96</f>
        <v>2000000</v>
      </c>
      <c r="M46" s="4">
        <f>+[5]EjecucionPptalPasiva!$O$234</f>
        <v>4758000</v>
      </c>
      <c r="N46" s="4">
        <f t="shared" si="29"/>
        <v>-2758000</v>
      </c>
      <c r="O46" s="4">
        <f>+'202501anual'!G96</f>
        <v>2000000</v>
      </c>
      <c r="P46" s="4">
        <v>0</v>
      </c>
      <c r="Q46" s="4">
        <f t="shared" si="30"/>
        <v>2000000</v>
      </c>
      <c r="R46" s="4">
        <f>+'202501anual'!H96</f>
        <v>2000000</v>
      </c>
      <c r="S46" s="4">
        <v>0</v>
      </c>
      <c r="T46" s="4">
        <f t="shared" si="31"/>
        <v>2000000</v>
      </c>
      <c r="U46" s="4"/>
      <c r="V46" s="4"/>
      <c r="W46" s="4"/>
      <c r="X46" s="4"/>
      <c r="Y46" s="4"/>
      <c r="Z46" s="4"/>
      <c r="AA46" s="4">
        <f t="shared" si="32"/>
        <v>6500000</v>
      </c>
      <c r="AB46" s="4">
        <f t="shared" si="32"/>
        <v>4758000</v>
      </c>
      <c r="AC46" s="4">
        <f t="shared" si="33"/>
        <v>1742000</v>
      </c>
      <c r="AD46" s="43">
        <f t="shared" si="34"/>
        <v>26.8</v>
      </c>
      <c r="AE46" s="34"/>
      <c r="AF46" s="38"/>
      <c r="AG46" s="38"/>
      <c r="AH46" s="2"/>
      <c r="AI46" s="2"/>
    </row>
    <row r="47" spans="1:38" x14ac:dyDescent="0.25">
      <c r="A47" s="5" t="s">
        <v>22</v>
      </c>
      <c r="B47" s="4">
        <v>16200000</v>
      </c>
      <c r="C47" s="4">
        <v>1350000</v>
      </c>
      <c r="D47" s="4">
        <v>0</v>
      </c>
      <c r="E47" s="4">
        <f t="shared" si="18"/>
        <v>1350000</v>
      </c>
      <c r="F47" s="4">
        <f>+'202501anual'!D97</f>
        <v>0</v>
      </c>
      <c r="G47" s="4"/>
      <c r="H47" s="4">
        <f t="shared" si="19"/>
        <v>0</v>
      </c>
      <c r="I47" s="4">
        <f>+'202501anual'!E97</f>
        <v>1300000</v>
      </c>
      <c r="J47" s="4"/>
      <c r="K47" s="4">
        <f t="shared" si="28"/>
        <v>1300000</v>
      </c>
      <c r="L47" s="4">
        <f>+'202501anual'!F97</f>
        <v>1300000</v>
      </c>
      <c r="M47" s="4">
        <v>0</v>
      </c>
      <c r="N47" s="4">
        <f t="shared" si="29"/>
        <v>1300000</v>
      </c>
      <c r="O47" s="4">
        <f>+'202501anual'!G97</f>
        <v>1300000</v>
      </c>
      <c r="P47" s="4">
        <f>1341600+382141.97-2695000+10110500</f>
        <v>9139241.9700000007</v>
      </c>
      <c r="Q47" s="4">
        <f t="shared" si="30"/>
        <v>-7839241.9700000007</v>
      </c>
      <c r="R47" s="4">
        <f>+'202501anual'!H97</f>
        <v>1300000</v>
      </c>
      <c r="S47" s="4"/>
      <c r="T47" s="4">
        <f t="shared" si="31"/>
        <v>1300000</v>
      </c>
      <c r="U47" s="4"/>
      <c r="V47" s="4"/>
      <c r="W47" s="4"/>
      <c r="X47" s="4"/>
      <c r="Y47" s="4"/>
      <c r="Z47" s="4"/>
      <c r="AA47" s="4">
        <f t="shared" si="32"/>
        <v>6550000</v>
      </c>
      <c r="AB47" s="4">
        <f t="shared" si="32"/>
        <v>9139241.9700000007</v>
      </c>
      <c r="AC47" s="4">
        <f t="shared" si="33"/>
        <v>-2589241.9700000007</v>
      </c>
      <c r="AD47" s="43">
        <f t="shared" si="34"/>
        <v>-39.530411755725204</v>
      </c>
      <c r="AE47" s="34"/>
      <c r="AF47" s="38"/>
      <c r="AG47" s="38"/>
      <c r="AH47" s="2"/>
      <c r="AI47" s="2"/>
    </row>
    <row r="48" spans="1:38" x14ac:dyDescent="0.25">
      <c r="A48" s="21" t="s">
        <v>85</v>
      </c>
      <c r="B48" s="4">
        <v>6000000</v>
      </c>
      <c r="C48" s="4">
        <v>500000</v>
      </c>
      <c r="D48" s="4">
        <v>466260</v>
      </c>
      <c r="E48" s="4">
        <f t="shared" si="18"/>
        <v>33740</v>
      </c>
      <c r="F48" s="4">
        <f>+'202501anual'!D98</f>
        <v>580000</v>
      </c>
      <c r="G48" s="4">
        <v>762230</v>
      </c>
      <c r="H48" s="4">
        <f t="shared" si="19"/>
        <v>-182230</v>
      </c>
      <c r="I48" s="4">
        <f>+'202501anual'!E98</f>
        <v>580000</v>
      </c>
      <c r="J48" s="4">
        <f>+[6]EjecucionPptalPasiva!$Q$285</f>
        <v>610639</v>
      </c>
      <c r="K48" s="4">
        <f t="shared" si="28"/>
        <v>-30639</v>
      </c>
      <c r="L48" s="4">
        <f>+'202501anual'!F98</f>
        <v>580000</v>
      </c>
      <c r="M48" s="4">
        <f>+[5]EjecucionPptalPasiva!$Q$285</f>
        <v>703510</v>
      </c>
      <c r="N48" s="4">
        <f t="shared" si="29"/>
        <v>-123510</v>
      </c>
      <c r="O48" s="4">
        <f>+'202501anual'!G98</f>
        <v>580000</v>
      </c>
      <c r="P48" s="4">
        <v>610873</v>
      </c>
      <c r="Q48" s="4">
        <f t="shared" si="30"/>
        <v>-30873</v>
      </c>
      <c r="R48" s="4">
        <f>+'202501anual'!H98</f>
        <v>580000</v>
      </c>
      <c r="S48" s="4"/>
      <c r="T48" s="4">
        <f t="shared" si="31"/>
        <v>580000</v>
      </c>
      <c r="U48" s="4"/>
      <c r="V48" s="4"/>
      <c r="W48" s="4"/>
      <c r="X48" s="4"/>
      <c r="Y48" s="4"/>
      <c r="Z48" s="4"/>
      <c r="AA48" s="4">
        <f t="shared" si="32"/>
        <v>3400000</v>
      </c>
      <c r="AB48" s="4">
        <f t="shared" si="32"/>
        <v>3153512</v>
      </c>
      <c r="AC48" s="4">
        <f t="shared" si="33"/>
        <v>246488</v>
      </c>
      <c r="AD48" s="43">
        <f t="shared" si="34"/>
        <v>7.2496470588235287</v>
      </c>
      <c r="AE48" s="34"/>
      <c r="AF48" s="38"/>
      <c r="AG48" s="38"/>
      <c r="AH48" s="2"/>
      <c r="AI48" s="2"/>
    </row>
    <row r="49" spans="1:35" x14ac:dyDescent="0.25">
      <c r="A49" s="5" t="s">
        <v>23</v>
      </c>
      <c r="B49" s="4">
        <v>12892000</v>
      </c>
      <c r="C49" s="4">
        <v>0</v>
      </c>
      <c r="D49" s="4">
        <v>0</v>
      </c>
      <c r="E49" s="4">
        <f t="shared" si="18"/>
        <v>0</v>
      </c>
      <c r="F49" s="4">
        <f>+'202501anual'!D99</f>
        <v>0</v>
      </c>
      <c r="G49" s="4"/>
      <c r="H49" s="4">
        <f t="shared" si="19"/>
        <v>0</v>
      </c>
      <c r="I49" s="4">
        <f>+'202501anual'!E99</f>
        <v>10900000</v>
      </c>
      <c r="J49" s="4"/>
      <c r="K49" s="4">
        <f t="shared" si="28"/>
        <v>10900000</v>
      </c>
      <c r="L49" s="4">
        <f>+'202501anual'!F99</f>
        <v>10900000</v>
      </c>
      <c r="M49" s="4">
        <v>0</v>
      </c>
      <c r="N49" s="4">
        <f t="shared" si="29"/>
        <v>10900000</v>
      </c>
      <c r="O49" s="4">
        <f>+'202501anual'!G99</f>
        <v>10900000</v>
      </c>
      <c r="P49" s="4">
        <v>527000</v>
      </c>
      <c r="Q49" s="4">
        <f t="shared" si="30"/>
        <v>10373000</v>
      </c>
      <c r="R49" s="4">
        <f>+'202501anual'!H99</f>
        <v>10900000</v>
      </c>
      <c r="S49" s="4"/>
      <c r="T49" s="4">
        <f t="shared" si="31"/>
        <v>10900000</v>
      </c>
      <c r="U49" s="4"/>
      <c r="V49" s="4"/>
      <c r="W49" s="4"/>
      <c r="X49" s="4"/>
      <c r="Y49" s="4"/>
      <c r="Z49" s="4"/>
      <c r="AA49" s="4">
        <f t="shared" si="32"/>
        <v>43600000</v>
      </c>
      <c r="AB49" s="4">
        <f t="shared" si="32"/>
        <v>527000</v>
      </c>
      <c r="AC49" s="4">
        <f t="shared" si="33"/>
        <v>43073000</v>
      </c>
      <c r="AD49" s="43">
        <v>0</v>
      </c>
      <c r="AE49" s="34"/>
      <c r="AF49" s="38"/>
      <c r="AG49" s="38"/>
      <c r="AH49" s="2"/>
      <c r="AI49" s="2"/>
    </row>
    <row r="50" spans="1:35" ht="30" x14ac:dyDescent="0.25">
      <c r="A50" s="21" t="s">
        <v>37</v>
      </c>
      <c r="B50" s="4">
        <v>47040000</v>
      </c>
      <c r="C50" s="4">
        <v>3920000</v>
      </c>
      <c r="D50" s="4">
        <v>4201894</v>
      </c>
      <c r="E50" s="4">
        <f t="shared" si="18"/>
        <v>-281894</v>
      </c>
      <c r="F50" s="4">
        <f>+'202501anual'!D101</f>
        <v>7550000</v>
      </c>
      <c r="G50" s="4">
        <v>4201894</v>
      </c>
      <c r="H50" s="4">
        <f t="shared" si="19"/>
        <v>3348106</v>
      </c>
      <c r="I50" s="4">
        <f>+'202501anual'!E101</f>
        <v>7550000</v>
      </c>
      <c r="J50" s="4">
        <v>4201894</v>
      </c>
      <c r="K50" s="4">
        <f t="shared" si="28"/>
        <v>3348106</v>
      </c>
      <c r="L50" s="4">
        <f>+'202501anual'!F101</f>
        <v>7550000</v>
      </c>
      <c r="M50" s="4">
        <v>4201894</v>
      </c>
      <c r="N50" s="4">
        <f t="shared" si="29"/>
        <v>3348106</v>
      </c>
      <c r="O50" s="4">
        <f>+'202501anual'!G101</f>
        <v>7550000</v>
      </c>
      <c r="P50" s="4">
        <v>4201894</v>
      </c>
      <c r="Q50" s="4">
        <f t="shared" si="30"/>
        <v>3348106</v>
      </c>
      <c r="R50" s="4">
        <f>+'202501anual'!H101</f>
        <v>7550000</v>
      </c>
      <c r="S50" s="4"/>
      <c r="T50" s="4">
        <f t="shared" si="31"/>
        <v>7550000</v>
      </c>
      <c r="U50" s="4"/>
      <c r="V50" s="4"/>
      <c r="W50" s="4"/>
      <c r="X50" s="4"/>
      <c r="Y50" s="4"/>
      <c r="Z50" s="4"/>
      <c r="AA50" s="4">
        <f t="shared" si="32"/>
        <v>41670000</v>
      </c>
      <c r="AB50" s="4">
        <f t="shared" si="32"/>
        <v>21009470</v>
      </c>
      <c r="AC50" s="4">
        <f t="shared" si="33"/>
        <v>20660530</v>
      </c>
      <c r="AD50" s="43">
        <f t="shared" si="34"/>
        <v>49.581305495560358</v>
      </c>
      <c r="AE50" s="34">
        <f>+D50+D53+D85+D86</f>
        <v>63447894</v>
      </c>
      <c r="AF50" s="38">
        <f>+C50+C52+C53+C54+C58+C66+C74+C85+C86</f>
        <v>83125000</v>
      </c>
      <c r="AG50" s="38"/>
      <c r="AH50" s="2"/>
      <c r="AI50" s="2"/>
    </row>
    <row r="51" spans="1:35" ht="30" hidden="1" x14ac:dyDescent="0.25">
      <c r="A51" s="21" t="s">
        <v>24</v>
      </c>
      <c r="B51" s="4"/>
      <c r="C51" s="4">
        <v>0</v>
      </c>
      <c r="D51" s="4">
        <v>0</v>
      </c>
      <c r="E51" s="4">
        <f t="shared" si="18"/>
        <v>0</v>
      </c>
      <c r="F51" s="4">
        <f>+'202501anual'!D102</f>
        <v>0</v>
      </c>
      <c r="G51" s="4"/>
      <c r="H51" s="4">
        <f t="shared" si="19"/>
        <v>0</v>
      </c>
      <c r="I51" s="4">
        <f>+'202501anual'!E102</f>
        <v>0</v>
      </c>
      <c r="J51" s="4"/>
      <c r="K51" s="4">
        <f t="shared" si="28"/>
        <v>0</v>
      </c>
      <c r="L51" s="4">
        <f>+'202501anual'!F102</f>
        <v>0</v>
      </c>
      <c r="M51" s="4"/>
      <c r="N51" s="4">
        <f t="shared" si="29"/>
        <v>0</v>
      </c>
      <c r="O51" s="4">
        <f>+'202501anual'!G102</f>
        <v>0</v>
      </c>
      <c r="P51" s="4"/>
      <c r="Q51" s="4">
        <f t="shared" si="30"/>
        <v>0</v>
      </c>
      <c r="R51" s="4">
        <f>+'202501anual'!H102</f>
        <v>0</v>
      </c>
      <c r="S51" s="4"/>
      <c r="T51" s="4">
        <f t="shared" si="31"/>
        <v>0</v>
      </c>
      <c r="U51" s="4"/>
      <c r="V51" s="4"/>
      <c r="W51" s="4"/>
      <c r="X51" s="4"/>
      <c r="Y51" s="4"/>
      <c r="Z51" s="4"/>
      <c r="AA51" s="4">
        <f t="shared" si="32"/>
        <v>0</v>
      </c>
      <c r="AB51" s="4">
        <f t="shared" si="32"/>
        <v>0</v>
      </c>
      <c r="AC51" s="4">
        <f t="shared" si="33"/>
        <v>0</v>
      </c>
      <c r="AD51" s="43" t="e">
        <f t="shared" si="34"/>
        <v>#DIV/0!</v>
      </c>
      <c r="AE51" s="34"/>
      <c r="AF51" s="38"/>
      <c r="AG51" s="38"/>
      <c r="AH51" s="2"/>
      <c r="AI51" s="2"/>
    </row>
    <row r="52" spans="1:35" x14ac:dyDescent="0.25">
      <c r="A52" s="21" t="s">
        <v>25</v>
      </c>
      <c r="B52" s="4">
        <v>39840000</v>
      </c>
      <c r="C52" s="4">
        <v>3320000</v>
      </c>
      <c r="D52" s="4">
        <v>0</v>
      </c>
      <c r="E52" s="4">
        <f t="shared" si="18"/>
        <v>3320000</v>
      </c>
      <c r="F52" s="4">
        <f>+'202501anual'!D103</f>
        <v>4250000</v>
      </c>
      <c r="G52" s="4">
        <v>3567900</v>
      </c>
      <c r="H52" s="4">
        <f t="shared" si="19"/>
        <v>682100</v>
      </c>
      <c r="I52" s="4">
        <f>+'202501anual'!E103</f>
        <v>5850000</v>
      </c>
      <c r="J52" s="4">
        <v>3567900</v>
      </c>
      <c r="K52" s="4">
        <f t="shared" si="28"/>
        <v>2282100</v>
      </c>
      <c r="L52" s="4">
        <f>+'202501anual'!F103</f>
        <v>5850000</v>
      </c>
      <c r="M52" s="4">
        <v>0</v>
      </c>
      <c r="N52" s="4">
        <f t="shared" si="29"/>
        <v>5850000</v>
      </c>
      <c r="O52" s="4">
        <f>+'202501anual'!G103</f>
        <v>5850000</v>
      </c>
      <c r="P52" s="4">
        <f>3567900*2</f>
        <v>7135800</v>
      </c>
      <c r="Q52" s="4">
        <f t="shared" si="30"/>
        <v>-1285800</v>
      </c>
      <c r="R52" s="4">
        <f>+'202501anual'!H103</f>
        <v>5850000</v>
      </c>
      <c r="S52" s="4"/>
      <c r="T52" s="4">
        <f t="shared" si="31"/>
        <v>5850000</v>
      </c>
      <c r="U52" s="4"/>
      <c r="V52" s="4"/>
      <c r="W52" s="4"/>
      <c r="X52" s="4"/>
      <c r="Y52" s="4"/>
      <c r="Z52" s="4"/>
      <c r="AA52" s="4">
        <f t="shared" si="32"/>
        <v>30970000</v>
      </c>
      <c r="AB52" s="4">
        <f t="shared" si="32"/>
        <v>14271600</v>
      </c>
      <c r="AC52" s="4">
        <f t="shared" si="33"/>
        <v>16698400</v>
      </c>
      <c r="AD52" s="43">
        <f t="shared" si="34"/>
        <v>53.917985146916372</v>
      </c>
      <c r="AE52" s="34"/>
      <c r="AF52" s="38"/>
      <c r="AG52" s="38"/>
      <c r="AH52" s="2"/>
      <c r="AI52" s="2"/>
    </row>
    <row r="53" spans="1:35" x14ac:dyDescent="0.25">
      <c r="A53" s="5" t="s">
        <v>60</v>
      </c>
      <c r="B53" s="4">
        <v>40200000</v>
      </c>
      <c r="C53" s="4">
        <v>3350000</v>
      </c>
      <c r="D53" s="4">
        <v>3350000</v>
      </c>
      <c r="E53" s="4">
        <f t="shared" si="18"/>
        <v>0</v>
      </c>
      <c r="F53" s="4">
        <f>+'202501anual'!D105</f>
        <v>3987000</v>
      </c>
      <c r="G53" s="4">
        <v>3764068</v>
      </c>
      <c r="H53" s="4">
        <f t="shared" si="19"/>
        <v>222932</v>
      </c>
      <c r="I53" s="4">
        <f>+'202501anual'!E105</f>
        <v>3987000</v>
      </c>
      <c r="J53" s="4">
        <v>3557034</v>
      </c>
      <c r="K53" s="4">
        <f t="shared" si="28"/>
        <v>429966</v>
      </c>
      <c r="L53" s="4">
        <f>+'202501anual'!F105</f>
        <v>3987000</v>
      </c>
      <c r="M53" s="4">
        <v>3557034</v>
      </c>
      <c r="N53" s="4">
        <f t="shared" si="29"/>
        <v>429966</v>
      </c>
      <c r="O53" s="4">
        <f>+'202501anual'!G105</f>
        <v>3987000</v>
      </c>
      <c r="P53" s="4">
        <v>3557034</v>
      </c>
      <c r="Q53" s="4">
        <f t="shared" si="30"/>
        <v>429966</v>
      </c>
      <c r="R53" s="4">
        <f>+'202501anual'!H105</f>
        <v>3987000</v>
      </c>
      <c r="S53" s="4"/>
      <c r="T53" s="4">
        <f t="shared" si="31"/>
        <v>3987000</v>
      </c>
      <c r="U53" s="4"/>
      <c r="V53" s="4"/>
      <c r="W53" s="4"/>
      <c r="X53" s="4"/>
      <c r="Y53" s="4"/>
      <c r="Z53" s="4"/>
      <c r="AA53" s="4">
        <f t="shared" si="32"/>
        <v>23285000</v>
      </c>
      <c r="AB53" s="4">
        <f t="shared" si="32"/>
        <v>17785170</v>
      </c>
      <c r="AC53" s="4">
        <f t="shared" si="33"/>
        <v>5499830</v>
      </c>
      <c r="AD53" s="43">
        <f t="shared" si="34"/>
        <v>23.619626368907021</v>
      </c>
      <c r="AE53" s="34"/>
      <c r="AF53" s="38"/>
      <c r="AG53" s="38"/>
      <c r="AH53" s="2"/>
      <c r="AI53" s="2"/>
    </row>
    <row r="54" spans="1:35" x14ac:dyDescent="0.25">
      <c r="A54" s="5" t="s">
        <v>26</v>
      </c>
      <c r="B54" s="4">
        <v>40080000</v>
      </c>
      <c r="C54" s="4">
        <v>3340000</v>
      </c>
      <c r="D54" s="4">
        <v>0</v>
      </c>
      <c r="E54" s="4">
        <f t="shared" si="18"/>
        <v>3340000</v>
      </c>
      <c r="F54" s="4">
        <f>+'202501anual'!D106</f>
        <v>0</v>
      </c>
      <c r="G54" s="4">
        <v>3567900</v>
      </c>
      <c r="H54" s="4">
        <f t="shared" si="19"/>
        <v>-3567900</v>
      </c>
      <c r="I54" s="4">
        <f>+'202501anual'!E106</f>
        <v>0</v>
      </c>
      <c r="J54" s="4">
        <v>3567900</v>
      </c>
      <c r="K54" s="4">
        <f t="shared" si="28"/>
        <v>-3567900</v>
      </c>
      <c r="L54" s="4">
        <f>+'202501anual'!F106</f>
        <v>0</v>
      </c>
      <c r="M54" s="4">
        <v>3567900</v>
      </c>
      <c r="N54" s="4">
        <f t="shared" si="29"/>
        <v>-3567900</v>
      </c>
      <c r="O54" s="4">
        <f>+'202501anual'!G106</f>
        <v>0</v>
      </c>
      <c r="P54" s="4">
        <v>3567900</v>
      </c>
      <c r="Q54" s="4">
        <f t="shared" si="30"/>
        <v>-3567900</v>
      </c>
      <c r="R54" s="4">
        <f>+'202501anual'!H106</f>
        <v>0</v>
      </c>
      <c r="S54" s="4"/>
      <c r="T54" s="4">
        <f t="shared" si="31"/>
        <v>0</v>
      </c>
      <c r="U54" s="4"/>
      <c r="V54" s="4"/>
      <c r="W54" s="4"/>
      <c r="X54" s="4"/>
      <c r="Y54" s="4"/>
      <c r="Z54" s="4"/>
      <c r="AA54" s="4">
        <f t="shared" si="32"/>
        <v>3340000</v>
      </c>
      <c r="AB54" s="4">
        <f t="shared" si="32"/>
        <v>14271600</v>
      </c>
      <c r="AC54" s="4">
        <f t="shared" si="33"/>
        <v>-10931600</v>
      </c>
      <c r="AD54" s="43">
        <f t="shared" si="34"/>
        <v>-327.29341317365265</v>
      </c>
      <c r="AE54" s="34"/>
      <c r="AF54" s="38"/>
      <c r="AG54" s="38"/>
      <c r="AH54" s="2"/>
      <c r="AI54" s="2"/>
    </row>
    <row r="55" spans="1:35" x14ac:dyDescent="0.25">
      <c r="A55" s="5" t="s">
        <v>92</v>
      </c>
      <c r="B55" s="4">
        <v>70450000</v>
      </c>
      <c r="C55" s="4">
        <v>1700000</v>
      </c>
      <c r="D55" s="4">
        <v>0</v>
      </c>
      <c r="E55" s="4">
        <f t="shared" si="18"/>
        <v>1700000</v>
      </c>
      <c r="F55" s="4">
        <f>+'202501anual'!D107</f>
        <v>4750000</v>
      </c>
      <c r="G55" s="4"/>
      <c r="H55" s="4">
        <f t="shared" si="19"/>
        <v>4750000</v>
      </c>
      <c r="I55" s="4">
        <f>+'202501anual'!E107</f>
        <v>7280000</v>
      </c>
      <c r="J55" s="4"/>
      <c r="K55" s="4">
        <f t="shared" si="28"/>
        <v>7280000</v>
      </c>
      <c r="L55" s="4">
        <f>+'202501anual'!F107</f>
        <v>4750000</v>
      </c>
      <c r="M55" s="4">
        <f>+[5]EjecucionPptalPasiva!$Q$399</f>
        <v>1400000</v>
      </c>
      <c r="N55" s="4">
        <f t="shared" si="29"/>
        <v>3350000</v>
      </c>
      <c r="O55" s="4">
        <f>+'202501anual'!G107</f>
        <v>4750000</v>
      </c>
      <c r="P55" s="4">
        <v>0</v>
      </c>
      <c r="Q55" s="4">
        <f t="shared" si="30"/>
        <v>4750000</v>
      </c>
      <c r="R55" s="4">
        <f>+'202501anual'!H107</f>
        <v>4750000</v>
      </c>
      <c r="S55" s="4"/>
      <c r="T55" s="4">
        <f t="shared" si="31"/>
        <v>4750000</v>
      </c>
      <c r="U55" s="4"/>
      <c r="V55" s="4"/>
      <c r="W55" s="4"/>
      <c r="X55" s="4"/>
      <c r="Y55" s="4"/>
      <c r="Z55" s="4"/>
      <c r="AA55" s="4">
        <f t="shared" si="32"/>
        <v>27980000</v>
      </c>
      <c r="AB55" s="4">
        <f t="shared" si="32"/>
        <v>1400000</v>
      </c>
      <c r="AC55" s="4">
        <f t="shared" si="33"/>
        <v>26580000</v>
      </c>
      <c r="AD55" s="43">
        <f t="shared" si="34"/>
        <v>94.9964260185847</v>
      </c>
      <c r="AE55" s="34"/>
      <c r="AF55" s="38"/>
      <c r="AG55" s="38"/>
      <c r="AH55" s="2"/>
      <c r="AI55" s="2"/>
    </row>
    <row r="56" spans="1:35" x14ac:dyDescent="0.25">
      <c r="A56" s="5" t="s">
        <v>73</v>
      </c>
      <c r="B56" s="4">
        <v>500000</v>
      </c>
      <c r="C56" s="4">
        <v>0</v>
      </c>
      <c r="D56" s="4">
        <v>0</v>
      </c>
      <c r="E56" s="4">
        <f t="shared" si="18"/>
        <v>0</v>
      </c>
      <c r="F56" s="4">
        <f>+'202501anual'!D108</f>
        <v>0</v>
      </c>
      <c r="G56" s="4"/>
      <c r="H56" s="4">
        <f t="shared" si="19"/>
        <v>0</v>
      </c>
      <c r="I56" s="4">
        <f>+'202501anual'!E108</f>
        <v>0</v>
      </c>
      <c r="J56" s="4"/>
      <c r="K56" s="4">
        <f t="shared" si="28"/>
        <v>0</v>
      </c>
      <c r="L56" s="4">
        <f>+'202501anual'!F108</f>
        <v>0</v>
      </c>
      <c r="M56" s="4">
        <v>0</v>
      </c>
      <c r="N56" s="4">
        <f t="shared" si="29"/>
        <v>0</v>
      </c>
      <c r="O56" s="4">
        <f>+'202501anual'!G108</f>
        <v>0</v>
      </c>
      <c r="P56" s="4">
        <v>0</v>
      </c>
      <c r="Q56" s="4">
        <f t="shared" si="30"/>
        <v>0</v>
      </c>
      <c r="R56" s="4">
        <f>+'202501anual'!H108</f>
        <v>0</v>
      </c>
      <c r="S56" s="4"/>
      <c r="T56" s="4">
        <f t="shared" si="31"/>
        <v>0</v>
      </c>
      <c r="U56" s="4"/>
      <c r="V56" s="4"/>
      <c r="W56" s="4"/>
      <c r="X56" s="4"/>
      <c r="Y56" s="4"/>
      <c r="Z56" s="4"/>
      <c r="AA56" s="4">
        <f t="shared" si="32"/>
        <v>0</v>
      </c>
      <c r="AB56" s="4">
        <f t="shared" si="32"/>
        <v>0</v>
      </c>
      <c r="AC56" s="4">
        <f t="shared" si="33"/>
        <v>0</v>
      </c>
      <c r="AD56" s="43">
        <v>0</v>
      </c>
      <c r="AE56" s="34"/>
      <c r="AF56" s="38"/>
      <c r="AG56" s="38"/>
      <c r="AH56" s="2"/>
      <c r="AI56" s="2"/>
    </row>
    <row r="57" spans="1:35" x14ac:dyDescent="0.25">
      <c r="A57" s="5" t="s">
        <v>27</v>
      </c>
      <c r="B57" s="4">
        <v>11377300</v>
      </c>
      <c r="C57" s="4">
        <v>0</v>
      </c>
      <c r="D57" s="4">
        <v>0</v>
      </c>
      <c r="E57" s="4">
        <f t="shared" si="18"/>
        <v>0</v>
      </c>
      <c r="F57" s="4">
        <f>+'202501anual'!D109</f>
        <v>1500000</v>
      </c>
      <c r="G57" s="4"/>
      <c r="H57" s="4">
        <f t="shared" si="19"/>
        <v>1500000</v>
      </c>
      <c r="I57" s="4">
        <f>+'202501anual'!E109</f>
        <v>0</v>
      </c>
      <c r="J57" s="4">
        <f>+[6]EjecucionPptalPasiva!$Q$287</f>
        <v>1070000</v>
      </c>
      <c r="K57" s="4">
        <f t="shared" si="28"/>
        <v>-1070000</v>
      </c>
      <c r="L57" s="4">
        <f>+'202501anual'!F109</f>
        <v>0</v>
      </c>
      <c r="M57" s="4">
        <v>0</v>
      </c>
      <c r="N57" s="4">
        <f t="shared" si="29"/>
        <v>0</v>
      </c>
      <c r="O57" s="4">
        <f>+'202501anual'!G109</f>
        <v>0</v>
      </c>
      <c r="P57" s="4">
        <v>0</v>
      </c>
      <c r="Q57" s="4">
        <f t="shared" si="30"/>
        <v>0</v>
      </c>
      <c r="R57" s="4">
        <f>+'202501anual'!H109</f>
        <v>0</v>
      </c>
      <c r="S57" s="4"/>
      <c r="T57" s="4">
        <f t="shared" si="31"/>
        <v>0</v>
      </c>
      <c r="U57" s="4"/>
      <c r="V57" s="4"/>
      <c r="W57" s="4"/>
      <c r="X57" s="4"/>
      <c r="Y57" s="4"/>
      <c r="Z57" s="4"/>
      <c r="AA57" s="4">
        <f t="shared" si="32"/>
        <v>1500000</v>
      </c>
      <c r="AB57" s="4">
        <f t="shared" si="32"/>
        <v>1070000</v>
      </c>
      <c r="AC57" s="4">
        <f t="shared" si="33"/>
        <v>430000</v>
      </c>
      <c r="AD57" s="43">
        <v>0</v>
      </c>
      <c r="AE57" s="34"/>
      <c r="AF57" s="38"/>
      <c r="AG57" s="38"/>
      <c r="AH57" s="2"/>
      <c r="AI57" s="2"/>
    </row>
    <row r="58" spans="1:35" x14ac:dyDescent="0.25">
      <c r="A58" s="5" t="s">
        <v>74</v>
      </c>
      <c r="B58" s="4">
        <v>46000000</v>
      </c>
      <c r="C58" s="4">
        <v>2000000</v>
      </c>
      <c r="D58" s="4">
        <v>0</v>
      </c>
      <c r="E58" s="4">
        <f t="shared" si="18"/>
        <v>2000000</v>
      </c>
      <c r="F58" s="4">
        <f>+'202501anual'!D110</f>
        <v>0</v>
      </c>
      <c r="G58" s="4"/>
      <c r="H58" s="4">
        <f t="shared" si="19"/>
        <v>0</v>
      </c>
      <c r="I58" s="4">
        <f>+'202501anual'!E110</f>
        <v>0</v>
      </c>
      <c r="J58" s="4"/>
      <c r="K58" s="4">
        <f t="shared" si="28"/>
        <v>0</v>
      </c>
      <c r="L58" s="4">
        <f>+'202501anual'!F110</f>
        <v>0</v>
      </c>
      <c r="M58" s="4">
        <v>0</v>
      </c>
      <c r="N58" s="4">
        <f t="shared" si="29"/>
        <v>0</v>
      </c>
      <c r="O58" s="4">
        <f>+'202501anual'!G110</f>
        <v>0</v>
      </c>
      <c r="P58" s="4">
        <v>0</v>
      </c>
      <c r="Q58" s="4">
        <f t="shared" si="30"/>
        <v>0</v>
      </c>
      <c r="R58" s="4">
        <f>+'202501anual'!H110</f>
        <v>0</v>
      </c>
      <c r="S58" s="4"/>
      <c r="T58" s="4">
        <f t="shared" si="31"/>
        <v>0</v>
      </c>
      <c r="U58" s="4"/>
      <c r="V58" s="4"/>
      <c r="W58" s="4"/>
      <c r="X58" s="4"/>
      <c r="Y58" s="4"/>
      <c r="Z58" s="4"/>
      <c r="AA58" s="4">
        <f t="shared" si="32"/>
        <v>2000000</v>
      </c>
      <c r="AB58" s="4">
        <f t="shared" si="32"/>
        <v>0</v>
      </c>
      <c r="AC58" s="4">
        <f t="shared" si="33"/>
        <v>2000000</v>
      </c>
      <c r="AD58" s="43">
        <f t="shared" si="34"/>
        <v>100</v>
      </c>
      <c r="AE58" s="34"/>
      <c r="AF58" s="38"/>
      <c r="AG58" s="38"/>
      <c r="AH58" s="2"/>
      <c r="AI58" s="2"/>
    </row>
    <row r="59" spans="1:35" hidden="1" x14ac:dyDescent="0.25">
      <c r="A59" s="5" t="s">
        <v>28</v>
      </c>
      <c r="B59" s="4"/>
      <c r="C59" s="4">
        <v>0</v>
      </c>
      <c r="D59" s="4">
        <v>0</v>
      </c>
      <c r="E59" s="4">
        <f t="shared" si="18"/>
        <v>0</v>
      </c>
      <c r="F59" s="4">
        <f>+'202501anual'!D111</f>
        <v>0</v>
      </c>
      <c r="G59" s="4"/>
      <c r="H59" s="4">
        <f t="shared" si="19"/>
        <v>0</v>
      </c>
      <c r="I59" s="4">
        <f>+'202501anual'!E111</f>
        <v>0</v>
      </c>
      <c r="J59" s="4"/>
      <c r="K59" s="4">
        <f t="shared" si="28"/>
        <v>0</v>
      </c>
      <c r="L59" s="4">
        <f>+'202501anual'!F111</f>
        <v>0</v>
      </c>
      <c r="M59" s="4"/>
      <c r="N59" s="4">
        <f t="shared" si="29"/>
        <v>0</v>
      </c>
      <c r="O59" s="4">
        <f>+'202501anual'!G111</f>
        <v>0</v>
      </c>
      <c r="P59" s="4"/>
      <c r="Q59" s="4">
        <f t="shared" si="30"/>
        <v>0</v>
      </c>
      <c r="R59" s="4">
        <f>+'202501anual'!H111</f>
        <v>0</v>
      </c>
      <c r="S59" s="4"/>
      <c r="T59" s="4">
        <f t="shared" si="31"/>
        <v>0</v>
      </c>
      <c r="U59" s="4"/>
      <c r="V59" s="4"/>
      <c r="W59" s="4"/>
      <c r="X59" s="4"/>
      <c r="Y59" s="4"/>
      <c r="Z59" s="4"/>
      <c r="AA59" s="4">
        <f t="shared" si="32"/>
        <v>0</v>
      </c>
      <c r="AB59" s="4">
        <f t="shared" si="32"/>
        <v>0</v>
      </c>
      <c r="AC59" s="4">
        <f t="shared" si="33"/>
        <v>0</v>
      </c>
      <c r="AD59" s="43" t="e">
        <f t="shared" si="34"/>
        <v>#DIV/0!</v>
      </c>
      <c r="AE59" s="34"/>
      <c r="AF59" s="38"/>
      <c r="AG59" s="38"/>
      <c r="AH59" s="2"/>
      <c r="AI59" s="2"/>
    </row>
    <row r="60" spans="1:35" hidden="1" x14ac:dyDescent="0.25">
      <c r="A60" s="5" t="s">
        <v>29</v>
      </c>
      <c r="B60" s="4"/>
      <c r="C60" s="4"/>
      <c r="D60" s="4"/>
      <c r="E60" s="4">
        <f t="shared" si="18"/>
        <v>0</v>
      </c>
      <c r="F60" s="4">
        <f>+'202501anual'!D112</f>
        <v>0</v>
      </c>
      <c r="G60" s="4"/>
      <c r="H60" s="4">
        <f t="shared" si="19"/>
        <v>0</v>
      </c>
      <c r="I60" s="4">
        <f>+'202501anual'!E112</f>
        <v>0</v>
      </c>
      <c r="J60" s="4"/>
      <c r="K60" s="4">
        <f t="shared" si="28"/>
        <v>0</v>
      </c>
      <c r="L60" s="4">
        <f>+'202501anual'!F112</f>
        <v>0</v>
      </c>
      <c r="M60" s="4"/>
      <c r="N60" s="4">
        <f t="shared" si="29"/>
        <v>0</v>
      </c>
      <c r="O60" s="4">
        <f>+'202501anual'!G112</f>
        <v>0</v>
      </c>
      <c r="P60" s="4"/>
      <c r="Q60" s="4">
        <f t="shared" si="30"/>
        <v>0</v>
      </c>
      <c r="R60" s="4">
        <f>+'202501anual'!H112</f>
        <v>0</v>
      </c>
      <c r="S60" s="4"/>
      <c r="T60" s="4">
        <f t="shared" si="31"/>
        <v>0</v>
      </c>
      <c r="U60" s="4"/>
      <c r="V60" s="4"/>
      <c r="W60" s="4"/>
      <c r="X60" s="4"/>
      <c r="Y60" s="4"/>
      <c r="Z60" s="4"/>
      <c r="AA60" s="4">
        <f t="shared" si="32"/>
        <v>0</v>
      </c>
      <c r="AB60" s="4">
        <f t="shared" si="32"/>
        <v>0</v>
      </c>
      <c r="AC60" s="4">
        <f t="shared" si="33"/>
        <v>0</v>
      </c>
      <c r="AD60" s="43" t="e">
        <f t="shared" si="34"/>
        <v>#DIV/0!</v>
      </c>
      <c r="AE60" s="34"/>
      <c r="AF60" s="38"/>
      <c r="AG60" s="38"/>
      <c r="AH60" s="2"/>
      <c r="AI60" s="2"/>
    </row>
    <row r="61" spans="1:35" x14ac:dyDescent="0.25">
      <c r="A61" s="5" t="s">
        <v>69</v>
      </c>
      <c r="B61" s="4">
        <v>61200000</v>
      </c>
      <c r="C61" s="4">
        <v>100000</v>
      </c>
      <c r="D61" s="4">
        <v>0</v>
      </c>
      <c r="E61" s="4">
        <f t="shared" si="18"/>
        <v>100000</v>
      </c>
      <c r="F61" s="4">
        <f>+'202501anual'!D113</f>
        <v>0</v>
      </c>
      <c r="G61" s="4">
        <v>183000</v>
      </c>
      <c r="H61" s="4">
        <f t="shared" si="19"/>
        <v>-183000</v>
      </c>
      <c r="I61" s="4">
        <f>+'202501anual'!E113</f>
        <v>1200000</v>
      </c>
      <c r="J61" s="4">
        <f>+[6]EjecucionPptalPasiva!$Q$281</f>
        <v>1080000</v>
      </c>
      <c r="K61" s="4">
        <f t="shared" si="28"/>
        <v>120000</v>
      </c>
      <c r="L61" s="4">
        <f>+'202501anual'!F113</f>
        <v>0</v>
      </c>
      <c r="M61" s="4">
        <f>+[5]EjecucionPptalPasiva!$Q$281</f>
        <v>5109000</v>
      </c>
      <c r="N61" s="4">
        <f t="shared" si="29"/>
        <v>-5109000</v>
      </c>
      <c r="O61" s="4">
        <f>+'202501anual'!G113</f>
        <v>6000000</v>
      </c>
      <c r="P61" s="4">
        <v>5730000</v>
      </c>
      <c r="Q61" s="4">
        <f t="shared" si="30"/>
        <v>270000</v>
      </c>
      <c r="R61" s="4">
        <f>+'202501anual'!H113</f>
        <v>1200000</v>
      </c>
      <c r="S61" s="4"/>
      <c r="T61" s="4">
        <f t="shared" si="31"/>
        <v>1200000</v>
      </c>
      <c r="U61" s="4"/>
      <c r="V61" s="4"/>
      <c r="W61" s="4"/>
      <c r="X61" s="4"/>
      <c r="Y61" s="4"/>
      <c r="Z61" s="4"/>
      <c r="AA61" s="4">
        <f t="shared" si="32"/>
        <v>8500000</v>
      </c>
      <c r="AB61" s="4">
        <f t="shared" si="32"/>
        <v>12102000</v>
      </c>
      <c r="AC61" s="4">
        <f t="shared" si="33"/>
        <v>-3602000</v>
      </c>
      <c r="AD61" s="43">
        <f t="shared" si="34"/>
        <v>-42.376470588235293</v>
      </c>
      <c r="AE61" s="34"/>
      <c r="AF61" s="38"/>
      <c r="AG61" s="38"/>
      <c r="AH61" s="2"/>
      <c r="AI61" s="2"/>
    </row>
    <row r="62" spans="1:35" hidden="1" x14ac:dyDescent="0.25">
      <c r="A62" s="5" t="s">
        <v>30</v>
      </c>
      <c r="B62" s="4"/>
      <c r="C62" s="4"/>
      <c r="D62" s="4"/>
      <c r="E62" s="4">
        <f t="shared" si="18"/>
        <v>0</v>
      </c>
      <c r="F62" s="4" t="e">
        <f>+'202501anual'!#REF!</f>
        <v>#REF!</v>
      </c>
      <c r="G62" s="4"/>
      <c r="H62" s="4" t="e">
        <f t="shared" si="19"/>
        <v>#REF!</v>
      </c>
      <c r="I62" s="4" t="e">
        <f>+'202501anual'!#REF!</f>
        <v>#REF!</v>
      </c>
      <c r="J62" s="4"/>
      <c r="K62" s="4" t="e">
        <f t="shared" si="28"/>
        <v>#REF!</v>
      </c>
      <c r="L62" s="4" t="e">
        <f>+'202501anual'!#REF!</f>
        <v>#REF!</v>
      </c>
      <c r="M62" s="4"/>
      <c r="N62" s="4" t="e">
        <f t="shared" si="29"/>
        <v>#REF!</v>
      </c>
      <c r="O62" s="4" t="e">
        <f>+'202501anual'!#REF!</f>
        <v>#REF!</v>
      </c>
      <c r="P62" s="4"/>
      <c r="Q62" s="4" t="e">
        <f t="shared" si="30"/>
        <v>#REF!</v>
      </c>
      <c r="R62" s="4" t="e">
        <f>+'202501anual'!#REF!</f>
        <v>#REF!</v>
      </c>
      <c r="S62" s="4"/>
      <c r="T62" s="4" t="e">
        <f t="shared" si="31"/>
        <v>#REF!</v>
      </c>
      <c r="U62" s="4"/>
      <c r="V62" s="4"/>
      <c r="W62" s="4"/>
      <c r="X62" s="4"/>
      <c r="Y62" s="4"/>
      <c r="Z62" s="4"/>
      <c r="AA62" s="4" t="e">
        <f t="shared" si="32"/>
        <v>#REF!</v>
      </c>
      <c r="AB62" s="4">
        <f t="shared" si="32"/>
        <v>0</v>
      </c>
      <c r="AC62" s="4" t="e">
        <f t="shared" si="33"/>
        <v>#REF!</v>
      </c>
      <c r="AD62" s="43" t="e">
        <f t="shared" si="34"/>
        <v>#REF!</v>
      </c>
      <c r="AE62" s="34"/>
      <c r="AF62" s="38"/>
      <c r="AG62" s="38"/>
      <c r="AH62" s="2"/>
      <c r="AI62" s="2"/>
    </row>
    <row r="63" spans="1:35" hidden="1" x14ac:dyDescent="0.25">
      <c r="A63" s="5" t="s">
        <v>31</v>
      </c>
      <c r="B63" s="4"/>
      <c r="C63" s="4"/>
      <c r="D63" s="4"/>
      <c r="E63" s="4">
        <f t="shared" si="18"/>
        <v>0</v>
      </c>
      <c r="F63" s="4" t="e">
        <f>+'202501anual'!#REF!</f>
        <v>#REF!</v>
      </c>
      <c r="G63" s="4"/>
      <c r="H63" s="4" t="e">
        <f t="shared" si="19"/>
        <v>#REF!</v>
      </c>
      <c r="I63" s="4" t="e">
        <f>+'202501anual'!#REF!</f>
        <v>#REF!</v>
      </c>
      <c r="J63" s="4"/>
      <c r="K63" s="4" t="e">
        <f t="shared" si="28"/>
        <v>#REF!</v>
      </c>
      <c r="L63" s="4" t="e">
        <f>+'202501anual'!#REF!</f>
        <v>#REF!</v>
      </c>
      <c r="M63" s="4"/>
      <c r="N63" s="4" t="e">
        <f t="shared" si="29"/>
        <v>#REF!</v>
      </c>
      <c r="O63" s="4" t="e">
        <f>+'202501anual'!#REF!</f>
        <v>#REF!</v>
      </c>
      <c r="P63" s="4"/>
      <c r="Q63" s="4" t="e">
        <f t="shared" si="30"/>
        <v>#REF!</v>
      </c>
      <c r="R63" s="4" t="e">
        <f>+'202501anual'!#REF!</f>
        <v>#REF!</v>
      </c>
      <c r="S63" s="4"/>
      <c r="T63" s="4" t="e">
        <f t="shared" si="31"/>
        <v>#REF!</v>
      </c>
      <c r="U63" s="4"/>
      <c r="V63" s="4"/>
      <c r="W63" s="4"/>
      <c r="X63" s="4"/>
      <c r="Y63" s="4"/>
      <c r="Z63" s="4"/>
      <c r="AA63" s="4" t="e">
        <f t="shared" si="32"/>
        <v>#REF!</v>
      </c>
      <c r="AB63" s="4">
        <f t="shared" si="32"/>
        <v>0</v>
      </c>
      <c r="AC63" s="4" t="e">
        <f t="shared" si="33"/>
        <v>#REF!</v>
      </c>
      <c r="AD63" s="43" t="e">
        <f t="shared" si="34"/>
        <v>#REF!</v>
      </c>
      <c r="AE63" s="34"/>
      <c r="AF63" s="38"/>
      <c r="AG63" s="38"/>
      <c r="AH63" s="2"/>
      <c r="AI63" s="2"/>
    </row>
    <row r="64" spans="1:35" x14ac:dyDescent="0.25">
      <c r="A64" s="21" t="s">
        <v>32</v>
      </c>
      <c r="B64" s="4">
        <v>32400000</v>
      </c>
      <c r="C64" s="4">
        <v>2700000</v>
      </c>
      <c r="D64" s="4">
        <v>2112800</v>
      </c>
      <c r="E64" s="4">
        <f t="shared" si="18"/>
        <v>587200</v>
      </c>
      <c r="F64" s="4">
        <f>+'202501anual'!D114</f>
        <v>0</v>
      </c>
      <c r="G64" s="4"/>
      <c r="H64" s="4">
        <f t="shared" si="19"/>
        <v>0</v>
      </c>
      <c r="I64" s="4">
        <f>+'202501anual'!E114</f>
        <v>0</v>
      </c>
      <c r="J64" s="4"/>
      <c r="K64" s="4">
        <f t="shared" si="28"/>
        <v>0</v>
      </c>
      <c r="L64" s="4">
        <f>+'202501anual'!F114</f>
        <v>0</v>
      </c>
      <c r="M64" s="4">
        <v>0</v>
      </c>
      <c r="N64" s="4">
        <f t="shared" si="29"/>
        <v>0</v>
      </c>
      <c r="O64" s="4">
        <f>+'202501anual'!G114</f>
        <v>0</v>
      </c>
      <c r="P64" s="4">
        <v>0</v>
      </c>
      <c r="Q64" s="4">
        <f t="shared" si="30"/>
        <v>0</v>
      </c>
      <c r="R64" s="4">
        <f>+'202501anual'!H114</f>
        <v>0</v>
      </c>
      <c r="S64" s="4"/>
      <c r="T64" s="4">
        <f t="shared" si="31"/>
        <v>0</v>
      </c>
      <c r="U64" s="4"/>
      <c r="V64" s="4"/>
      <c r="W64" s="4"/>
      <c r="X64" s="4"/>
      <c r="Y64" s="4"/>
      <c r="Z64" s="4"/>
      <c r="AA64" s="4">
        <f t="shared" si="32"/>
        <v>2700000</v>
      </c>
      <c r="AB64" s="4">
        <f t="shared" si="32"/>
        <v>2112800</v>
      </c>
      <c r="AC64" s="4">
        <f t="shared" si="33"/>
        <v>587200</v>
      </c>
      <c r="AD64" s="43">
        <f t="shared" si="34"/>
        <v>21.748148148148147</v>
      </c>
      <c r="AE64" s="34"/>
      <c r="AF64" s="38"/>
      <c r="AG64" s="38"/>
      <c r="AH64" s="2"/>
      <c r="AI64" s="2"/>
    </row>
    <row r="65" spans="1:35" x14ac:dyDescent="0.25">
      <c r="A65" s="5" t="s">
        <v>82</v>
      </c>
      <c r="B65" s="4">
        <v>11550000</v>
      </c>
      <c r="C65" s="4">
        <v>0</v>
      </c>
      <c r="D65" s="4">
        <v>0</v>
      </c>
      <c r="E65" s="4">
        <f t="shared" si="18"/>
        <v>0</v>
      </c>
      <c r="F65" s="4">
        <f>+'202501anual'!D115</f>
        <v>0</v>
      </c>
      <c r="G65" s="4"/>
      <c r="H65" s="4">
        <f t="shared" si="19"/>
        <v>0</v>
      </c>
      <c r="I65" s="4">
        <f>+'202501anual'!E115</f>
        <v>1400000</v>
      </c>
      <c r="J65" s="4">
        <v>1762283</v>
      </c>
      <c r="K65" s="4">
        <f t="shared" si="28"/>
        <v>-362283</v>
      </c>
      <c r="L65" s="4">
        <f>+'202501anual'!F115</f>
        <v>0</v>
      </c>
      <c r="M65" s="4">
        <v>2635657.7999999998</v>
      </c>
      <c r="N65" s="4">
        <f t="shared" si="29"/>
        <v>-2635657.7999999998</v>
      </c>
      <c r="O65" s="4">
        <f>+'202501anual'!G115</f>
        <v>1400000</v>
      </c>
      <c r="P65" s="4">
        <v>0</v>
      </c>
      <c r="Q65" s="4">
        <f t="shared" si="30"/>
        <v>1400000</v>
      </c>
      <c r="R65" s="4">
        <f>+'202501anual'!H115</f>
        <v>0</v>
      </c>
      <c r="S65" s="4"/>
      <c r="T65" s="4">
        <f t="shared" si="31"/>
        <v>0</v>
      </c>
      <c r="U65" s="4"/>
      <c r="V65" s="4"/>
      <c r="W65" s="4"/>
      <c r="X65" s="4"/>
      <c r="Y65" s="4"/>
      <c r="Z65" s="4"/>
      <c r="AA65" s="4">
        <f t="shared" si="32"/>
        <v>2800000</v>
      </c>
      <c r="AB65" s="4">
        <f t="shared" si="32"/>
        <v>4397940.8</v>
      </c>
      <c r="AC65" s="4">
        <f t="shared" si="33"/>
        <v>-1597940.7999999998</v>
      </c>
      <c r="AD65" s="43">
        <v>0</v>
      </c>
      <c r="AE65" s="34"/>
      <c r="AF65" s="38"/>
      <c r="AG65" s="38"/>
      <c r="AH65" s="2"/>
      <c r="AI65" s="2"/>
    </row>
    <row r="66" spans="1:35" x14ac:dyDescent="0.25">
      <c r="A66" s="5" t="s">
        <v>81</v>
      </c>
      <c r="B66" s="4">
        <v>36000000</v>
      </c>
      <c r="C66" s="4">
        <v>3000000</v>
      </c>
      <c r="D66" s="4">
        <v>0</v>
      </c>
      <c r="E66" s="4">
        <f t="shared" si="18"/>
        <v>3000000</v>
      </c>
      <c r="F66" s="4">
        <f>+'202501anual'!D116</f>
        <v>0</v>
      </c>
      <c r="G66" s="4"/>
      <c r="H66" s="4">
        <f t="shared" si="19"/>
        <v>0</v>
      </c>
      <c r="I66" s="4">
        <f>+'202501anual'!E116</f>
        <v>0</v>
      </c>
      <c r="J66" s="4"/>
      <c r="K66" s="4">
        <f t="shared" si="28"/>
        <v>0</v>
      </c>
      <c r="L66" s="4">
        <f>+'202501anual'!F116</f>
        <v>0</v>
      </c>
      <c r="M66" s="4">
        <v>0</v>
      </c>
      <c r="N66" s="4">
        <f t="shared" si="29"/>
        <v>0</v>
      </c>
      <c r="O66" s="4">
        <f>+'202501anual'!G116</f>
        <v>150000000</v>
      </c>
      <c r="P66" s="4">
        <v>0</v>
      </c>
      <c r="Q66" s="4">
        <f t="shared" si="30"/>
        <v>150000000</v>
      </c>
      <c r="R66" s="4">
        <f>+'202501anual'!H116</f>
        <v>150000000</v>
      </c>
      <c r="S66" s="4"/>
      <c r="T66" s="4">
        <f t="shared" si="31"/>
        <v>150000000</v>
      </c>
      <c r="U66" s="4"/>
      <c r="V66" s="4"/>
      <c r="W66" s="4"/>
      <c r="X66" s="4"/>
      <c r="Y66" s="4"/>
      <c r="Z66" s="4"/>
      <c r="AA66" s="4">
        <f t="shared" si="32"/>
        <v>303000000</v>
      </c>
      <c r="AB66" s="4">
        <f t="shared" si="32"/>
        <v>0</v>
      </c>
      <c r="AC66" s="4">
        <f t="shared" si="33"/>
        <v>303000000</v>
      </c>
      <c r="AD66" s="43">
        <f t="shared" si="34"/>
        <v>100</v>
      </c>
      <c r="AE66" s="34"/>
      <c r="AF66" s="38"/>
      <c r="AG66" s="38"/>
      <c r="AH66" s="2"/>
      <c r="AI66" s="2"/>
    </row>
    <row r="67" spans="1:35" x14ac:dyDescent="0.25">
      <c r="A67" s="5" t="s">
        <v>93</v>
      </c>
      <c r="B67" s="4">
        <v>36000000</v>
      </c>
      <c r="C67" s="4">
        <v>1500000</v>
      </c>
      <c r="D67" s="4">
        <v>2126080</v>
      </c>
      <c r="E67" s="4">
        <f t="shared" si="18"/>
        <v>-626080</v>
      </c>
      <c r="F67" s="4">
        <f>+'202501anual'!D117</f>
        <v>4600000</v>
      </c>
      <c r="G67" s="4">
        <v>2078688</v>
      </c>
      <c r="H67" s="4">
        <f t="shared" si="19"/>
        <v>2521312</v>
      </c>
      <c r="I67" s="4">
        <f>+'202501anual'!E117</f>
        <v>4600000</v>
      </c>
      <c r="J67" s="4">
        <f>+[6]EjecucionPptalPasiva!$Q$398</f>
        <v>1686820</v>
      </c>
      <c r="K67" s="4">
        <f t="shared" si="28"/>
        <v>2913180</v>
      </c>
      <c r="L67" s="4">
        <f>+'202501anual'!F117</f>
        <v>4600000</v>
      </c>
      <c r="M67" s="4">
        <f>+[5]EjecucionPptalPasiva!$Q$398</f>
        <v>705004</v>
      </c>
      <c r="N67" s="4">
        <f t="shared" si="29"/>
        <v>3894996</v>
      </c>
      <c r="O67" s="4">
        <f>+'202501anual'!G117</f>
        <v>4600000</v>
      </c>
      <c r="P67" s="4">
        <f>102312+708000</f>
        <v>810312</v>
      </c>
      <c r="Q67" s="4">
        <f t="shared" si="30"/>
        <v>3789688</v>
      </c>
      <c r="R67" s="4">
        <f>+'202501anual'!H117</f>
        <v>4600000</v>
      </c>
      <c r="S67" s="4"/>
      <c r="T67" s="4">
        <f t="shared" si="31"/>
        <v>4600000</v>
      </c>
      <c r="U67" s="4"/>
      <c r="V67" s="4"/>
      <c r="W67" s="4"/>
      <c r="X67" s="4"/>
      <c r="Y67" s="4"/>
      <c r="Z67" s="4"/>
      <c r="AA67" s="4">
        <f t="shared" si="32"/>
        <v>24500000</v>
      </c>
      <c r="AB67" s="4">
        <f t="shared" si="32"/>
        <v>7406904</v>
      </c>
      <c r="AC67" s="4">
        <f t="shared" si="33"/>
        <v>17093096</v>
      </c>
      <c r="AD67" s="43">
        <f t="shared" si="34"/>
        <v>69.767738775510196</v>
      </c>
      <c r="AE67" s="34"/>
      <c r="AF67" s="38"/>
      <c r="AG67" s="38"/>
      <c r="AH67" s="2"/>
      <c r="AI67" s="2"/>
    </row>
    <row r="68" spans="1:35" x14ac:dyDescent="0.25">
      <c r="A68" s="5" t="s">
        <v>110</v>
      </c>
      <c r="B68" s="4">
        <v>4000000</v>
      </c>
      <c r="C68" s="4">
        <v>1500000</v>
      </c>
      <c r="D68" s="4">
        <v>7200</v>
      </c>
      <c r="E68" s="4">
        <f t="shared" si="18"/>
        <v>1492800</v>
      </c>
      <c r="F68" s="4">
        <f>+'202501anual'!D118</f>
        <v>120000</v>
      </c>
      <c r="G68" s="4"/>
      <c r="H68" s="4">
        <f t="shared" si="19"/>
        <v>120000</v>
      </c>
      <c r="I68" s="4">
        <f>+'202501anual'!E118</f>
        <v>120000</v>
      </c>
      <c r="J68" s="4">
        <f>+[6]EjecucionPptalPasiva!$Q$275+[6]EjecucionPptalPasiva!$Q$282</f>
        <v>4967400</v>
      </c>
      <c r="K68" s="4">
        <f t="shared" si="28"/>
        <v>-4847400</v>
      </c>
      <c r="L68" s="4">
        <f>+'202501anual'!F118</f>
        <v>120000</v>
      </c>
      <c r="M68" s="4">
        <f>+[5]EjecucionPptalPasiva!$Q$275</f>
        <v>118960</v>
      </c>
      <c r="N68" s="4">
        <f t="shared" si="29"/>
        <v>1040</v>
      </c>
      <c r="O68" s="4">
        <f>+'202501anual'!G118</f>
        <v>120000</v>
      </c>
      <c r="P68" s="4">
        <v>0</v>
      </c>
      <c r="Q68" s="4">
        <f t="shared" si="30"/>
        <v>120000</v>
      </c>
      <c r="R68" s="4">
        <f>+'202501anual'!H118</f>
        <v>120000</v>
      </c>
      <c r="S68" s="4"/>
      <c r="T68" s="4">
        <f t="shared" si="31"/>
        <v>120000</v>
      </c>
      <c r="U68" s="4"/>
      <c r="V68" s="4"/>
      <c r="W68" s="4"/>
      <c r="X68" s="4"/>
      <c r="Y68" s="4"/>
      <c r="Z68" s="4"/>
      <c r="AA68" s="4">
        <f t="shared" si="32"/>
        <v>2100000</v>
      </c>
      <c r="AB68" s="4">
        <f t="shared" si="32"/>
        <v>5093560</v>
      </c>
      <c r="AC68" s="4">
        <f t="shared" si="33"/>
        <v>-2993560</v>
      </c>
      <c r="AD68" s="43">
        <f t="shared" si="34"/>
        <v>-142.55047619047619</v>
      </c>
      <c r="AE68" s="34"/>
      <c r="AF68" s="38"/>
      <c r="AG68" s="38"/>
      <c r="AH68" s="2"/>
      <c r="AI68" s="2"/>
    </row>
    <row r="69" spans="1:35" x14ac:dyDescent="0.25">
      <c r="A69" s="21" t="s">
        <v>79</v>
      </c>
      <c r="B69" s="4">
        <v>7000000</v>
      </c>
      <c r="C69" s="4">
        <v>0</v>
      </c>
      <c r="D69" s="4">
        <v>0</v>
      </c>
      <c r="E69" s="4">
        <f t="shared" si="18"/>
        <v>0</v>
      </c>
      <c r="F69" s="4" t="e">
        <f>+'202501anual'!#REF!</f>
        <v>#REF!</v>
      </c>
      <c r="G69" s="4"/>
      <c r="H69" s="4" t="e">
        <f t="shared" si="19"/>
        <v>#REF!</v>
      </c>
      <c r="I69" s="4" t="e">
        <f>+'202501anual'!#REF!</f>
        <v>#REF!</v>
      </c>
      <c r="J69" s="4"/>
      <c r="K69" s="4" t="e">
        <f t="shared" si="28"/>
        <v>#REF!</v>
      </c>
      <c r="L69" s="4" t="e">
        <f>+'202501anual'!#REF!</f>
        <v>#REF!</v>
      </c>
      <c r="M69" s="4">
        <v>0</v>
      </c>
      <c r="N69" s="4" t="e">
        <f t="shared" si="29"/>
        <v>#REF!</v>
      </c>
      <c r="O69" s="4" t="e">
        <f>+'202501anual'!#REF!</f>
        <v>#REF!</v>
      </c>
      <c r="P69" s="4">
        <v>0</v>
      </c>
      <c r="Q69" s="4" t="e">
        <f t="shared" si="30"/>
        <v>#REF!</v>
      </c>
      <c r="R69" s="4" t="e">
        <f>+'202501anual'!#REF!</f>
        <v>#REF!</v>
      </c>
      <c r="S69" s="4"/>
      <c r="T69" s="4" t="e">
        <f t="shared" si="31"/>
        <v>#REF!</v>
      </c>
      <c r="U69" s="4"/>
      <c r="V69" s="4"/>
      <c r="W69" s="4"/>
      <c r="X69" s="4"/>
      <c r="Y69" s="4"/>
      <c r="Z69" s="4"/>
      <c r="AA69" s="4" t="e">
        <f t="shared" si="32"/>
        <v>#REF!</v>
      </c>
      <c r="AB69" s="4">
        <f t="shared" si="32"/>
        <v>0</v>
      </c>
      <c r="AC69" s="4" t="e">
        <f t="shared" si="33"/>
        <v>#REF!</v>
      </c>
      <c r="AD69" s="43">
        <v>0</v>
      </c>
      <c r="AE69" s="34"/>
      <c r="AF69" s="38"/>
      <c r="AG69" s="38"/>
      <c r="AH69" s="2"/>
      <c r="AI69" s="2"/>
    </row>
    <row r="70" spans="1:35" ht="30" x14ac:dyDescent="0.25">
      <c r="A70" s="21" t="s">
        <v>77</v>
      </c>
      <c r="B70" s="4">
        <v>7000000</v>
      </c>
      <c r="C70" s="4">
        <v>0</v>
      </c>
      <c r="D70" s="4">
        <v>0</v>
      </c>
      <c r="E70" s="4">
        <f t="shared" si="18"/>
        <v>0</v>
      </c>
      <c r="F70" s="4">
        <f>+'202501anual'!D121</f>
        <v>3000000</v>
      </c>
      <c r="G70" s="4"/>
      <c r="H70" s="4">
        <f t="shared" si="19"/>
        <v>3000000</v>
      </c>
      <c r="I70" s="4">
        <f>+'202501anual'!E121</f>
        <v>3000000</v>
      </c>
      <c r="J70" s="4"/>
      <c r="K70" s="4">
        <f t="shared" si="28"/>
        <v>3000000</v>
      </c>
      <c r="L70" s="4">
        <f>+'202501anual'!F121</f>
        <v>3500000</v>
      </c>
      <c r="M70" s="4">
        <v>0</v>
      </c>
      <c r="N70" s="4">
        <f t="shared" si="29"/>
        <v>3500000</v>
      </c>
      <c r="O70" s="4">
        <f>+'202501anual'!G121</f>
        <v>3500000</v>
      </c>
      <c r="P70" s="4">
        <v>0</v>
      </c>
      <c r="Q70" s="4">
        <f t="shared" si="30"/>
        <v>3500000</v>
      </c>
      <c r="R70" s="4">
        <f>+'202501anual'!H121</f>
        <v>3500000</v>
      </c>
      <c r="S70" s="4"/>
      <c r="T70" s="4">
        <f t="shared" si="31"/>
        <v>3500000</v>
      </c>
      <c r="U70" s="4"/>
      <c r="V70" s="4"/>
      <c r="W70" s="4"/>
      <c r="X70" s="4"/>
      <c r="Y70" s="4"/>
      <c r="Z70" s="4"/>
      <c r="AA70" s="4">
        <f t="shared" si="32"/>
        <v>16500000</v>
      </c>
      <c r="AB70" s="4">
        <f t="shared" si="32"/>
        <v>0</v>
      </c>
      <c r="AC70" s="4">
        <f t="shared" si="33"/>
        <v>16500000</v>
      </c>
      <c r="AD70" s="43">
        <v>0</v>
      </c>
      <c r="AE70" s="34"/>
      <c r="AF70" s="38"/>
      <c r="AG70" s="38"/>
      <c r="AH70" s="2"/>
      <c r="AI70" s="2"/>
    </row>
    <row r="71" spans="1:35" ht="30" x14ac:dyDescent="0.25">
      <c r="A71" s="21" t="s">
        <v>80</v>
      </c>
      <c r="B71" s="4">
        <v>4000000</v>
      </c>
      <c r="C71" s="4">
        <v>0</v>
      </c>
      <c r="D71" s="4">
        <v>0</v>
      </c>
      <c r="E71" s="4">
        <f t="shared" si="18"/>
        <v>0</v>
      </c>
      <c r="F71" s="4">
        <f>+'202501anual'!D122</f>
        <v>0</v>
      </c>
      <c r="G71" s="4"/>
      <c r="H71" s="4">
        <f t="shared" si="19"/>
        <v>0</v>
      </c>
      <c r="I71" s="4">
        <f>+'202501anual'!E122</f>
        <v>7000000</v>
      </c>
      <c r="J71" s="4"/>
      <c r="K71" s="4">
        <f t="shared" si="28"/>
        <v>7000000</v>
      </c>
      <c r="L71" s="4">
        <f>+'202501anual'!F122</f>
        <v>3000000</v>
      </c>
      <c r="M71" s="4">
        <v>0</v>
      </c>
      <c r="N71" s="4">
        <f t="shared" si="29"/>
        <v>3000000</v>
      </c>
      <c r="O71" s="4">
        <f>+'202501anual'!G122</f>
        <v>0</v>
      </c>
      <c r="P71" s="4">
        <v>0</v>
      </c>
      <c r="Q71" s="4">
        <f t="shared" si="30"/>
        <v>0</v>
      </c>
      <c r="R71" s="4">
        <f>+'202501anual'!H122</f>
        <v>7000000</v>
      </c>
      <c r="S71" s="4"/>
      <c r="T71" s="4">
        <f t="shared" si="31"/>
        <v>7000000</v>
      </c>
      <c r="U71" s="4"/>
      <c r="V71" s="4"/>
      <c r="W71" s="4"/>
      <c r="X71" s="4"/>
      <c r="Y71" s="4"/>
      <c r="Z71" s="4"/>
      <c r="AA71" s="4">
        <f t="shared" si="32"/>
        <v>17000000</v>
      </c>
      <c r="AB71" s="4">
        <f t="shared" si="32"/>
        <v>0</v>
      </c>
      <c r="AC71" s="4">
        <f t="shared" si="33"/>
        <v>17000000</v>
      </c>
      <c r="AD71" s="43">
        <v>0</v>
      </c>
      <c r="AE71" s="34"/>
      <c r="AF71" s="38"/>
      <c r="AG71" s="38"/>
      <c r="AH71" s="2"/>
      <c r="AI71" s="2"/>
    </row>
    <row r="72" spans="1:35" x14ac:dyDescent="0.25">
      <c r="A72" s="21" t="s">
        <v>70</v>
      </c>
      <c r="B72" s="4">
        <v>64800000</v>
      </c>
      <c r="C72" s="4">
        <v>5400000</v>
      </c>
      <c r="D72" s="4">
        <v>5451000</v>
      </c>
      <c r="E72" s="4">
        <f t="shared" si="18"/>
        <v>-51000</v>
      </c>
      <c r="F72" s="4">
        <f>+'202501anual'!D123</f>
        <v>5800000</v>
      </c>
      <c r="G72" s="4">
        <v>2725500</v>
      </c>
      <c r="H72" s="4">
        <f t="shared" si="19"/>
        <v>3074500</v>
      </c>
      <c r="I72" s="4">
        <f>+'202501anual'!E123</f>
        <v>5800000</v>
      </c>
      <c r="J72" s="4">
        <f>+[6]EjecucionPptalPasiva!$Q$284</f>
        <v>7994800</v>
      </c>
      <c r="K72" s="4">
        <f t="shared" si="28"/>
        <v>-2194800</v>
      </c>
      <c r="L72" s="4">
        <f>+'202501anual'!F123</f>
        <v>5800000</v>
      </c>
      <c r="M72" s="4">
        <f>+[5]EjecucionPptalPasiva!$Q$284</f>
        <v>5451000</v>
      </c>
      <c r="N72" s="4">
        <f t="shared" si="29"/>
        <v>349000</v>
      </c>
      <c r="O72" s="4">
        <f>+'202501anual'!G123</f>
        <v>5800000</v>
      </c>
      <c r="P72" s="4">
        <v>5451000</v>
      </c>
      <c r="Q72" s="4">
        <f t="shared" si="30"/>
        <v>349000</v>
      </c>
      <c r="R72" s="4">
        <f>+'202501anual'!H123</f>
        <v>5800000</v>
      </c>
      <c r="S72" s="4"/>
      <c r="T72" s="4">
        <f t="shared" si="31"/>
        <v>5800000</v>
      </c>
      <c r="U72" s="4"/>
      <c r="V72" s="4"/>
      <c r="W72" s="4"/>
      <c r="X72" s="4"/>
      <c r="Y72" s="4"/>
      <c r="Z72" s="4"/>
      <c r="AA72" s="4">
        <f t="shared" si="32"/>
        <v>34400000</v>
      </c>
      <c r="AB72" s="4">
        <f t="shared" si="32"/>
        <v>27073300</v>
      </c>
      <c r="AC72" s="4">
        <f t="shared" si="33"/>
        <v>7326700</v>
      </c>
      <c r="AD72" s="43">
        <f t="shared" si="34"/>
        <v>21.298546511627908</v>
      </c>
      <c r="AE72" s="34"/>
      <c r="AF72" s="38"/>
      <c r="AG72" s="38"/>
      <c r="AH72" s="2"/>
      <c r="AI72" s="2"/>
    </row>
    <row r="73" spans="1:35" ht="30" x14ac:dyDescent="0.25">
      <c r="A73" s="21" t="s">
        <v>33</v>
      </c>
      <c r="B73" s="4">
        <v>27600000</v>
      </c>
      <c r="C73" s="4">
        <v>2300000</v>
      </c>
      <c r="D73" s="4">
        <v>0</v>
      </c>
      <c r="E73" s="4">
        <f t="shared" si="18"/>
        <v>2300000</v>
      </c>
      <c r="F73" s="4">
        <f>+'202501anual'!D134</f>
        <v>450000</v>
      </c>
      <c r="G73" s="4"/>
      <c r="H73" s="4">
        <f t="shared" si="19"/>
        <v>450000</v>
      </c>
      <c r="I73" s="4">
        <f>+'202501anual'!E134</f>
        <v>450000</v>
      </c>
      <c r="J73" s="4">
        <f>+[6]EjecucionPptalPasiva!$Q$278</f>
        <v>602000</v>
      </c>
      <c r="K73" s="4">
        <f t="shared" si="28"/>
        <v>-152000</v>
      </c>
      <c r="L73" s="4">
        <f>+'202501anual'!F134</f>
        <v>450000</v>
      </c>
      <c r="M73" s="4">
        <v>0</v>
      </c>
      <c r="N73" s="4">
        <f t="shared" si="29"/>
        <v>450000</v>
      </c>
      <c r="O73" s="4">
        <f>+'202501anual'!G134</f>
        <v>450000</v>
      </c>
      <c r="P73" s="4">
        <v>0</v>
      </c>
      <c r="Q73" s="4">
        <f t="shared" si="30"/>
        <v>450000</v>
      </c>
      <c r="R73" s="4">
        <f>+'202501anual'!H134</f>
        <v>400000</v>
      </c>
      <c r="S73" s="4"/>
      <c r="T73" s="4">
        <f t="shared" si="31"/>
        <v>400000</v>
      </c>
      <c r="U73" s="4"/>
      <c r="V73" s="4"/>
      <c r="W73" s="4"/>
      <c r="X73" s="4"/>
      <c r="Y73" s="4"/>
      <c r="Z73" s="4"/>
      <c r="AA73" s="4">
        <f t="shared" si="32"/>
        <v>4500000</v>
      </c>
      <c r="AB73" s="4">
        <f t="shared" si="32"/>
        <v>602000</v>
      </c>
      <c r="AC73" s="4">
        <f t="shared" si="33"/>
        <v>3898000</v>
      </c>
      <c r="AD73" s="43">
        <f t="shared" si="34"/>
        <v>86.62222222222222</v>
      </c>
      <c r="AE73" s="34"/>
      <c r="AF73" s="38"/>
      <c r="AG73" s="38"/>
      <c r="AH73" s="2"/>
      <c r="AI73" s="2"/>
    </row>
    <row r="74" spans="1:35" x14ac:dyDescent="0.25">
      <c r="A74" s="5" t="s">
        <v>75</v>
      </c>
      <c r="B74" s="4">
        <v>36000000</v>
      </c>
      <c r="C74" s="4">
        <v>3000000</v>
      </c>
      <c r="D74" s="4">
        <v>0</v>
      </c>
      <c r="E74" s="4">
        <f t="shared" si="18"/>
        <v>3000000</v>
      </c>
      <c r="F74" s="4">
        <f>+'202501anual'!D135</f>
        <v>0</v>
      </c>
      <c r="G74" s="4"/>
      <c r="H74" s="4">
        <f t="shared" si="19"/>
        <v>0</v>
      </c>
      <c r="I74" s="4">
        <f>+'202501anual'!E135</f>
        <v>0</v>
      </c>
      <c r="J74" s="4"/>
      <c r="K74" s="4">
        <f t="shared" si="28"/>
        <v>0</v>
      </c>
      <c r="L74" s="4">
        <f>+'202501anual'!F135</f>
        <v>0</v>
      </c>
      <c r="M74" s="4">
        <v>0</v>
      </c>
      <c r="N74" s="4">
        <f t="shared" si="29"/>
        <v>0</v>
      </c>
      <c r="O74" s="4">
        <f>+'202501anual'!G135</f>
        <v>0</v>
      </c>
      <c r="P74" s="4">
        <v>0</v>
      </c>
      <c r="Q74" s="4">
        <f t="shared" si="30"/>
        <v>0</v>
      </c>
      <c r="R74" s="4">
        <f>+'202501anual'!H135</f>
        <v>0</v>
      </c>
      <c r="S74" s="4"/>
      <c r="T74" s="4">
        <f t="shared" si="31"/>
        <v>0</v>
      </c>
      <c r="U74" s="4"/>
      <c r="V74" s="4"/>
      <c r="W74" s="4"/>
      <c r="X74" s="4"/>
      <c r="Y74" s="4"/>
      <c r="Z74" s="4"/>
      <c r="AA74" s="4">
        <f t="shared" si="32"/>
        <v>3000000</v>
      </c>
      <c r="AB74" s="4">
        <f t="shared" si="32"/>
        <v>0</v>
      </c>
      <c r="AC74" s="4">
        <f t="shared" si="33"/>
        <v>3000000</v>
      </c>
      <c r="AD74" s="43">
        <f t="shared" si="34"/>
        <v>100</v>
      </c>
      <c r="AE74" s="34"/>
      <c r="AF74" s="38"/>
      <c r="AG74" s="38"/>
      <c r="AH74" s="2"/>
      <c r="AI74" s="2"/>
    </row>
    <row r="75" spans="1:35" x14ac:dyDescent="0.25">
      <c r="A75" s="5" t="s">
        <v>87</v>
      </c>
      <c r="B75" s="4">
        <v>18823282</v>
      </c>
      <c r="C75" s="4">
        <v>224000</v>
      </c>
      <c r="D75" s="4">
        <v>0</v>
      </c>
      <c r="E75" s="4">
        <f t="shared" si="18"/>
        <v>224000</v>
      </c>
      <c r="F75" s="4" t="e">
        <f>+'202501anual'!#REF!</f>
        <v>#REF!</v>
      </c>
      <c r="G75" s="4"/>
      <c r="H75" s="4" t="e">
        <f t="shared" si="19"/>
        <v>#REF!</v>
      </c>
      <c r="I75" s="4" t="e">
        <f>+'202501anual'!#REF!</f>
        <v>#REF!</v>
      </c>
      <c r="J75" s="4"/>
      <c r="K75" s="4" t="e">
        <f t="shared" si="28"/>
        <v>#REF!</v>
      </c>
      <c r="L75" s="4" t="e">
        <f>+'202501anual'!#REF!</f>
        <v>#REF!</v>
      </c>
      <c r="M75" s="4">
        <v>0</v>
      </c>
      <c r="N75" s="4" t="e">
        <f t="shared" si="29"/>
        <v>#REF!</v>
      </c>
      <c r="O75" s="4" t="e">
        <f>+'202501anual'!#REF!</f>
        <v>#REF!</v>
      </c>
      <c r="P75" s="4">
        <v>0</v>
      </c>
      <c r="Q75" s="4" t="e">
        <f t="shared" si="30"/>
        <v>#REF!</v>
      </c>
      <c r="R75" s="4" t="e">
        <f>+'202501anual'!#REF!</f>
        <v>#REF!</v>
      </c>
      <c r="S75" s="4"/>
      <c r="T75" s="4" t="e">
        <f t="shared" si="31"/>
        <v>#REF!</v>
      </c>
      <c r="U75" s="4"/>
      <c r="V75" s="4"/>
      <c r="W75" s="4"/>
      <c r="X75" s="4"/>
      <c r="Y75" s="4"/>
      <c r="Z75" s="4"/>
      <c r="AA75" s="4" t="e">
        <f t="shared" si="32"/>
        <v>#REF!</v>
      </c>
      <c r="AB75" s="4">
        <f t="shared" si="32"/>
        <v>0</v>
      </c>
      <c r="AC75" s="4" t="e">
        <f t="shared" si="33"/>
        <v>#REF!</v>
      </c>
      <c r="AD75" s="43" t="e">
        <f t="shared" si="34"/>
        <v>#REF!</v>
      </c>
      <c r="AE75" s="34"/>
      <c r="AF75" s="38"/>
      <c r="AG75" s="38"/>
      <c r="AH75" s="2"/>
      <c r="AI75" s="2"/>
    </row>
    <row r="76" spans="1:35" x14ac:dyDescent="0.25">
      <c r="A76" s="5" t="s">
        <v>68</v>
      </c>
      <c r="B76" s="4">
        <v>14400000</v>
      </c>
      <c r="C76" s="4">
        <v>1200000</v>
      </c>
      <c r="D76" s="4">
        <v>4473800</v>
      </c>
      <c r="E76" s="4">
        <f t="shared" si="18"/>
        <v>-3273800</v>
      </c>
      <c r="F76" s="4">
        <f>+'202501anual'!D136</f>
        <v>5000000</v>
      </c>
      <c r="G76" s="4">
        <v>1256880</v>
      </c>
      <c r="H76" s="4">
        <f t="shared" si="19"/>
        <v>3743120</v>
      </c>
      <c r="I76" s="4">
        <f>+'202501anual'!E136</f>
        <v>5000000</v>
      </c>
      <c r="J76" s="4">
        <f>+[6]EjecucionPptalPasiva!$Q$279</f>
        <v>2009690</v>
      </c>
      <c r="K76" s="4">
        <f t="shared" si="28"/>
        <v>2990310</v>
      </c>
      <c r="L76" s="4">
        <f>+'202501anual'!F136</f>
        <v>5000000</v>
      </c>
      <c r="M76" s="4">
        <v>0</v>
      </c>
      <c r="N76" s="4">
        <f t="shared" si="29"/>
        <v>5000000</v>
      </c>
      <c r="O76" s="4">
        <f>+'202501anual'!G136</f>
        <v>5000000</v>
      </c>
      <c r="P76" s="4">
        <v>0</v>
      </c>
      <c r="Q76" s="4">
        <f t="shared" si="30"/>
        <v>5000000</v>
      </c>
      <c r="R76" s="4">
        <f>+'202501anual'!H136</f>
        <v>5000000</v>
      </c>
      <c r="S76" s="4"/>
      <c r="T76" s="4">
        <f t="shared" si="31"/>
        <v>5000000</v>
      </c>
      <c r="U76" s="4"/>
      <c r="V76" s="4"/>
      <c r="W76" s="4"/>
      <c r="X76" s="4"/>
      <c r="Y76" s="4"/>
      <c r="Z76" s="4"/>
      <c r="AA76" s="4">
        <f t="shared" si="32"/>
        <v>26200000</v>
      </c>
      <c r="AB76" s="4">
        <f t="shared" si="32"/>
        <v>7740370</v>
      </c>
      <c r="AC76" s="4">
        <f t="shared" si="33"/>
        <v>18459630</v>
      </c>
      <c r="AD76" s="43">
        <f t="shared" si="34"/>
        <v>70.456603053435117</v>
      </c>
      <c r="AE76" s="34"/>
      <c r="AF76" s="38"/>
      <c r="AG76" s="38"/>
      <c r="AH76" s="2"/>
      <c r="AI76" s="2"/>
    </row>
    <row r="77" spans="1:35" x14ac:dyDescent="0.25">
      <c r="A77" s="21" t="s">
        <v>67</v>
      </c>
      <c r="B77" s="4">
        <v>7798000</v>
      </c>
      <c r="C77" s="4">
        <v>519000</v>
      </c>
      <c r="D77" s="4">
        <v>0</v>
      </c>
      <c r="E77" s="4">
        <f t="shared" si="18"/>
        <v>519000</v>
      </c>
      <c r="F77" s="4" t="e">
        <f>+'202501anual'!#REF!</f>
        <v>#REF!</v>
      </c>
      <c r="G77" s="4">
        <v>530000</v>
      </c>
      <c r="H77" s="4" t="e">
        <f t="shared" si="19"/>
        <v>#REF!</v>
      </c>
      <c r="I77" s="4" t="e">
        <f>+'202501anual'!#REF!</f>
        <v>#REF!</v>
      </c>
      <c r="J77" s="4">
        <f>+[6]EjecucionPptalPasiva!$Q$231</f>
        <v>1918811</v>
      </c>
      <c r="K77" s="4" t="e">
        <f t="shared" si="28"/>
        <v>#REF!</v>
      </c>
      <c r="L77" s="4" t="e">
        <f>+'202501anual'!#REF!</f>
        <v>#REF!</v>
      </c>
      <c r="M77" s="4">
        <f>+[5]EjecucionPptalPasiva!$O$231</f>
        <v>634434</v>
      </c>
      <c r="N77" s="4" t="e">
        <f t="shared" si="29"/>
        <v>#REF!</v>
      </c>
      <c r="O77" s="4" t="e">
        <f>+'202501anual'!#REF!</f>
        <v>#REF!</v>
      </c>
      <c r="P77" s="4">
        <f>1190185</f>
        <v>1190185</v>
      </c>
      <c r="Q77" s="4" t="e">
        <f t="shared" si="30"/>
        <v>#REF!</v>
      </c>
      <c r="R77" s="4" t="e">
        <f>+'202501anual'!#REF!</f>
        <v>#REF!</v>
      </c>
      <c r="S77" s="4"/>
      <c r="T77" s="4" t="e">
        <f t="shared" si="31"/>
        <v>#REF!</v>
      </c>
      <c r="U77" s="4"/>
      <c r="V77" s="4"/>
      <c r="W77" s="4"/>
      <c r="X77" s="4"/>
      <c r="Y77" s="4"/>
      <c r="Z77" s="4"/>
      <c r="AA77" s="4" t="e">
        <f t="shared" si="32"/>
        <v>#REF!</v>
      </c>
      <c r="AB77" s="4">
        <f t="shared" si="32"/>
        <v>4273430</v>
      </c>
      <c r="AC77" s="4" t="e">
        <f t="shared" si="33"/>
        <v>#REF!</v>
      </c>
      <c r="AD77" s="43" t="e">
        <f t="shared" si="34"/>
        <v>#REF!</v>
      </c>
      <c r="AE77" s="34"/>
      <c r="AF77" s="38"/>
      <c r="AG77" s="38"/>
      <c r="AH77" s="2"/>
      <c r="AI77" s="2"/>
    </row>
    <row r="78" spans="1:35" x14ac:dyDescent="0.25">
      <c r="A78" s="21" t="s">
        <v>86</v>
      </c>
      <c r="B78" s="4">
        <v>54736747</v>
      </c>
      <c r="C78" s="4">
        <v>5061458.5192123605</v>
      </c>
      <c r="D78" s="4">
        <v>1210918</v>
      </c>
      <c r="E78" s="4">
        <f t="shared" si="18"/>
        <v>3850540.5192123605</v>
      </c>
      <c r="F78" s="4">
        <f>+'202501anual'!D137</f>
        <v>2750000</v>
      </c>
      <c r="G78" s="4">
        <v>3835014</v>
      </c>
      <c r="H78" s="4">
        <f t="shared" si="19"/>
        <v>-1085014</v>
      </c>
      <c r="I78" s="4">
        <f>+'202501anual'!E137</f>
        <v>2750000</v>
      </c>
      <c r="J78" s="4">
        <v>2178767</v>
      </c>
      <c r="K78" s="4">
        <f t="shared" si="28"/>
        <v>571233</v>
      </c>
      <c r="L78" s="4">
        <f>+'202501anual'!F137</f>
        <v>2750000</v>
      </c>
      <c r="M78" s="4">
        <f>+[5]EjecucionPptalPasiva!$Q$298</f>
        <v>3478598</v>
      </c>
      <c r="N78" s="4">
        <f t="shared" si="29"/>
        <v>-728598</v>
      </c>
      <c r="O78" s="4">
        <f>+'202501anual'!G137</f>
        <v>2750000</v>
      </c>
      <c r="P78" s="4">
        <v>2819448</v>
      </c>
      <c r="Q78" s="4">
        <f t="shared" si="30"/>
        <v>-69448</v>
      </c>
      <c r="R78" s="4">
        <f>+'202501anual'!H137</f>
        <v>2750000</v>
      </c>
      <c r="S78" s="4"/>
      <c r="T78" s="4">
        <f t="shared" si="31"/>
        <v>2750000</v>
      </c>
      <c r="U78" s="4"/>
      <c r="V78" s="4"/>
      <c r="W78" s="4"/>
      <c r="X78" s="4"/>
      <c r="Y78" s="4"/>
      <c r="Z78" s="4"/>
      <c r="AA78" s="4">
        <f t="shared" si="32"/>
        <v>18811458.519212361</v>
      </c>
      <c r="AB78" s="4">
        <f t="shared" si="32"/>
        <v>13522745</v>
      </c>
      <c r="AC78" s="4">
        <f t="shared" si="33"/>
        <v>5288713.5192123614</v>
      </c>
      <c r="AD78" s="43">
        <f t="shared" si="34"/>
        <v>28.114319332607501</v>
      </c>
      <c r="AE78" s="34"/>
      <c r="AF78" s="38"/>
      <c r="AG78" s="38"/>
      <c r="AH78" s="2"/>
      <c r="AI78" s="2"/>
    </row>
    <row r="79" spans="1:35" x14ac:dyDescent="0.25">
      <c r="A79" s="5" t="s">
        <v>108</v>
      </c>
      <c r="B79" s="4">
        <v>36000000</v>
      </c>
      <c r="C79" s="4">
        <v>3000000</v>
      </c>
      <c r="D79" s="4">
        <v>0</v>
      </c>
      <c r="E79" s="4">
        <f t="shared" si="18"/>
        <v>3000000</v>
      </c>
      <c r="F79" s="4">
        <f>+'202501anual'!D138</f>
        <v>0</v>
      </c>
      <c r="G79" s="4"/>
      <c r="H79" s="4">
        <f t="shared" si="19"/>
        <v>0</v>
      </c>
      <c r="I79" s="4">
        <f>+'202501anual'!E138</f>
        <v>0</v>
      </c>
      <c r="J79" s="4"/>
      <c r="K79" s="4">
        <f t="shared" si="28"/>
        <v>0</v>
      </c>
      <c r="L79" s="4">
        <f>+'202501anual'!F138</f>
        <v>0</v>
      </c>
      <c r="M79" s="4">
        <v>0</v>
      </c>
      <c r="N79" s="4">
        <f t="shared" si="29"/>
        <v>0</v>
      </c>
      <c r="O79" s="4">
        <f>+'202501anual'!G138</f>
        <v>4000000</v>
      </c>
      <c r="P79" s="4">
        <v>0</v>
      </c>
      <c r="Q79" s="4">
        <f t="shared" si="30"/>
        <v>4000000</v>
      </c>
      <c r="R79" s="4">
        <f>+'202501anual'!H138</f>
        <v>0</v>
      </c>
      <c r="S79" s="4"/>
      <c r="T79" s="4">
        <f t="shared" si="31"/>
        <v>0</v>
      </c>
      <c r="U79" s="4"/>
      <c r="V79" s="4"/>
      <c r="W79" s="4"/>
      <c r="X79" s="4"/>
      <c r="Y79" s="4"/>
      <c r="Z79" s="4"/>
      <c r="AA79" s="4">
        <f t="shared" si="32"/>
        <v>7000000</v>
      </c>
      <c r="AB79" s="4">
        <f t="shared" si="32"/>
        <v>0</v>
      </c>
      <c r="AC79" s="4">
        <f t="shared" si="33"/>
        <v>7000000</v>
      </c>
      <c r="AD79" s="43">
        <f t="shared" si="34"/>
        <v>100</v>
      </c>
      <c r="AE79" s="34"/>
      <c r="AF79" s="38"/>
      <c r="AG79" s="38"/>
      <c r="AH79" s="2"/>
      <c r="AI79" s="2"/>
    </row>
    <row r="80" spans="1:35" x14ac:dyDescent="0.25">
      <c r="A80" s="5" t="s">
        <v>76</v>
      </c>
      <c r="B80" s="4">
        <v>15000000</v>
      </c>
      <c r="C80" s="4">
        <v>0</v>
      </c>
      <c r="D80" s="4">
        <v>0</v>
      </c>
      <c r="E80" s="4">
        <f t="shared" si="18"/>
        <v>0</v>
      </c>
      <c r="F80" s="4">
        <f>+'202501anual'!D139</f>
        <v>0</v>
      </c>
      <c r="G80" s="4"/>
      <c r="H80" s="4">
        <f t="shared" si="19"/>
        <v>0</v>
      </c>
      <c r="I80" s="4">
        <f>+'202501anual'!E139</f>
        <v>0</v>
      </c>
      <c r="J80" s="4"/>
      <c r="K80" s="4">
        <f t="shared" si="28"/>
        <v>0</v>
      </c>
      <c r="L80" s="4">
        <f>+'202501anual'!F139</f>
        <v>800000</v>
      </c>
      <c r="M80" s="4">
        <v>0</v>
      </c>
      <c r="N80" s="4">
        <f t="shared" si="29"/>
        <v>800000</v>
      </c>
      <c r="O80" s="4">
        <f>+'202501anual'!G139</f>
        <v>800000</v>
      </c>
      <c r="P80" s="4">
        <v>0</v>
      </c>
      <c r="Q80" s="4">
        <f t="shared" si="30"/>
        <v>800000</v>
      </c>
      <c r="R80" s="4">
        <f>+'202501anual'!H139</f>
        <v>800000</v>
      </c>
      <c r="S80" s="4"/>
      <c r="T80" s="4">
        <f t="shared" si="31"/>
        <v>800000</v>
      </c>
      <c r="U80" s="4"/>
      <c r="V80" s="4"/>
      <c r="W80" s="4"/>
      <c r="X80" s="4"/>
      <c r="Y80" s="4"/>
      <c r="Z80" s="4"/>
      <c r="AA80" s="4">
        <f t="shared" si="32"/>
        <v>2400000</v>
      </c>
      <c r="AB80" s="4">
        <f t="shared" si="32"/>
        <v>0</v>
      </c>
      <c r="AC80" s="4">
        <f t="shared" si="33"/>
        <v>2400000</v>
      </c>
      <c r="AD80" s="43">
        <v>0</v>
      </c>
      <c r="AE80" s="34"/>
      <c r="AF80" s="38"/>
      <c r="AG80" s="38"/>
      <c r="AH80" s="2"/>
      <c r="AI80" s="2"/>
    </row>
    <row r="81" spans="1:38" x14ac:dyDescent="0.25">
      <c r="A81" s="5" t="s">
        <v>61</v>
      </c>
      <c r="B81" s="4">
        <v>12000000</v>
      </c>
      <c r="C81" s="4">
        <v>0</v>
      </c>
      <c r="D81" s="4">
        <v>0</v>
      </c>
      <c r="E81" s="4">
        <f t="shared" si="18"/>
        <v>0</v>
      </c>
      <c r="F81" s="4">
        <f>+'202501anual'!D140</f>
        <v>0</v>
      </c>
      <c r="G81" s="4"/>
      <c r="H81" s="4">
        <f t="shared" si="19"/>
        <v>0</v>
      </c>
      <c r="I81" s="4">
        <f>+'202501anual'!E140</f>
        <v>0</v>
      </c>
      <c r="J81" s="4"/>
      <c r="K81" s="4">
        <f t="shared" si="28"/>
        <v>0</v>
      </c>
      <c r="L81" s="4">
        <f>+'202501anual'!F140</f>
        <v>90000000</v>
      </c>
      <c r="M81" s="4">
        <v>0</v>
      </c>
      <c r="N81" s="4">
        <f t="shared" si="29"/>
        <v>90000000</v>
      </c>
      <c r="O81" s="4">
        <f>+'202501anual'!G140</f>
        <v>0</v>
      </c>
      <c r="P81" s="4">
        <v>0</v>
      </c>
      <c r="Q81" s="4">
        <f t="shared" si="30"/>
        <v>0</v>
      </c>
      <c r="R81" s="4">
        <f>+'202501anual'!H140</f>
        <v>0</v>
      </c>
      <c r="S81" s="4"/>
      <c r="T81" s="4">
        <f t="shared" si="31"/>
        <v>0</v>
      </c>
      <c r="U81" s="4"/>
      <c r="V81" s="4"/>
      <c r="W81" s="4"/>
      <c r="X81" s="4"/>
      <c r="Y81" s="4"/>
      <c r="Z81" s="4"/>
      <c r="AA81" s="4">
        <f t="shared" si="32"/>
        <v>90000000</v>
      </c>
      <c r="AB81" s="4">
        <f t="shared" si="32"/>
        <v>0</v>
      </c>
      <c r="AC81" s="4">
        <f t="shared" si="33"/>
        <v>90000000</v>
      </c>
      <c r="AD81" s="43">
        <v>0</v>
      </c>
      <c r="AE81" s="34"/>
      <c r="AF81" s="38"/>
      <c r="AG81" s="38"/>
      <c r="AH81" s="2"/>
      <c r="AI81" s="2"/>
    </row>
    <row r="82" spans="1:38" hidden="1" x14ac:dyDescent="0.25">
      <c r="A82" s="5" t="s">
        <v>34</v>
      </c>
      <c r="B82" s="4"/>
      <c r="C82" s="4"/>
      <c r="D82" s="4"/>
      <c r="E82" s="4">
        <f t="shared" si="18"/>
        <v>0</v>
      </c>
      <c r="F82" s="4">
        <f>+'202501anual'!D141</f>
        <v>6800000</v>
      </c>
      <c r="G82" s="4"/>
      <c r="H82" s="4">
        <f t="shared" si="19"/>
        <v>6800000</v>
      </c>
      <c r="I82" s="4">
        <f>+'202501anual'!E141</f>
        <v>6800000</v>
      </c>
      <c r="J82" s="4"/>
      <c r="K82" s="4">
        <f t="shared" si="28"/>
        <v>6800000</v>
      </c>
      <c r="L82" s="4">
        <f>+'202501anual'!F141</f>
        <v>18800000</v>
      </c>
      <c r="M82" s="4"/>
      <c r="N82" s="4">
        <f t="shared" si="29"/>
        <v>18800000</v>
      </c>
      <c r="O82" s="4">
        <f>+'202501anual'!G141</f>
        <v>6800000</v>
      </c>
      <c r="P82" s="4"/>
      <c r="Q82" s="4">
        <f t="shared" si="30"/>
        <v>6800000</v>
      </c>
      <c r="R82" s="4">
        <f>+'202501anual'!H141</f>
        <v>6800000</v>
      </c>
      <c r="S82" s="4"/>
      <c r="T82" s="4">
        <f t="shared" si="31"/>
        <v>6800000</v>
      </c>
      <c r="U82" s="4"/>
      <c r="V82" s="4"/>
      <c r="W82" s="4"/>
      <c r="X82" s="4"/>
      <c r="Y82" s="4"/>
      <c r="Z82" s="4"/>
      <c r="AA82" s="4">
        <f t="shared" si="32"/>
        <v>46000000</v>
      </c>
      <c r="AB82" s="4">
        <f t="shared" si="32"/>
        <v>0</v>
      </c>
      <c r="AC82" s="4">
        <f t="shared" si="33"/>
        <v>46000000</v>
      </c>
      <c r="AD82" s="43">
        <f t="shared" si="34"/>
        <v>100</v>
      </c>
      <c r="AE82" s="34"/>
      <c r="AF82" s="38"/>
      <c r="AG82" s="38"/>
      <c r="AH82" s="2"/>
      <c r="AI82" s="2"/>
    </row>
    <row r="83" spans="1:38" x14ac:dyDescent="0.25">
      <c r="A83" s="5" t="s">
        <v>83</v>
      </c>
      <c r="B83" s="4">
        <v>26000000</v>
      </c>
      <c r="C83" s="4">
        <v>2000000</v>
      </c>
      <c r="D83" s="4">
        <v>0</v>
      </c>
      <c r="E83" s="4">
        <f t="shared" si="18"/>
        <v>2000000</v>
      </c>
      <c r="F83" s="4">
        <f>+'202501anual'!D142</f>
        <v>100000</v>
      </c>
      <c r="G83" s="4"/>
      <c r="H83" s="4">
        <f t="shared" si="19"/>
        <v>100000</v>
      </c>
      <c r="I83" s="4">
        <f>+'202501anual'!E142</f>
        <v>100000</v>
      </c>
      <c r="J83" s="4"/>
      <c r="K83" s="4">
        <f t="shared" si="28"/>
        <v>100000</v>
      </c>
      <c r="L83" s="4">
        <f>+'202501anual'!F142</f>
        <v>100000</v>
      </c>
      <c r="M83" s="4">
        <v>0</v>
      </c>
      <c r="N83" s="4">
        <f t="shared" si="29"/>
        <v>100000</v>
      </c>
      <c r="O83" s="4">
        <f>+'202501anual'!G142</f>
        <v>100000</v>
      </c>
      <c r="P83" s="4">
        <v>0</v>
      </c>
      <c r="Q83" s="4">
        <f t="shared" si="30"/>
        <v>100000</v>
      </c>
      <c r="R83" s="4">
        <f>+'202501anual'!H142</f>
        <v>100000</v>
      </c>
      <c r="S83" s="4"/>
      <c r="T83" s="4">
        <f t="shared" si="31"/>
        <v>100000</v>
      </c>
      <c r="U83" s="4"/>
      <c r="V83" s="4"/>
      <c r="W83" s="4"/>
      <c r="X83" s="4"/>
      <c r="Y83" s="4"/>
      <c r="Z83" s="4"/>
      <c r="AA83" s="4">
        <f t="shared" si="32"/>
        <v>2500000</v>
      </c>
      <c r="AB83" s="4">
        <f t="shared" si="32"/>
        <v>0</v>
      </c>
      <c r="AC83" s="4">
        <f t="shared" si="33"/>
        <v>2500000</v>
      </c>
      <c r="AD83" s="43">
        <f t="shared" si="34"/>
        <v>100</v>
      </c>
      <c r="AE83" s="34"/>
      <c r="AF83" s="38"/>
      <c r="AG83" s="38"/>
      <c r="AH83" s="2"/>
      <c r="AI83" s="2"/>
    </row>
    <row r="84" spans="1:38" hidden="1" x14ac:dyDescent="0.25">
      <c r="A84" s="5" t="s">
        <v>56</v>
      </c>
      <c r="B84" s="4"/>
      <c r="C84" s="4"/>
      <c r="D84" s="4"/>
      <c r="E84" s="4">
        <f t="shared" si="18"/>
        <v>0</v>
      </c>
      <c r="F84" s="4">
        <f>+'202501anual'!D143</f>
        <v>0</v>
      </c>
      <c r="G84" s="4"/>
      <c r="H84" s="4">
        <f t="shared" si="19"/>
        <v>0</v>
      </c>
      <c r="I84" s="4">
        <f>+'202501anual'!E143</f>
        <v>1500000</v>
      </c>
      <c r="J84" s="4"/>
      <c r="K84" s="4">
        <f t="shared" si="28"/>
        <v>1500000</v>
      </c>
      <c r="L84" s="4">
        <f>+'202501anual'!F143</f>
        <v>1500000</v>
      </c>
      <c r="M84" s="4"/>
      <c r="N84" s="4">
        <f t="shared" si="29"/>
        <v>1500000</v>
      </c>
      <c r="O84" s="4">
        <f>+'202501anual'!G143</f>
        <v>1500000</v>
      </c>
      <c r="P84" s="4"/>
      <c r="Q84" s="4">
        <f t="shared" si="30"/>
        <v>1500000</v>
      </c>
      <c r="R84" s="4">
        <f>+'202501anual'!H143</f>
        <v>1500000</v>
      </c>
      <c r="S84" s="4"/>
      <c r="T84" s="4">
        <f t="shared" si="31"/>
        <v>1500000</v>
      </c>
      <c r="U84" s="4"/>
      <c r="V84" s="4"/>
      <c r="W84" s="4"/>
      <c r="X84" s="4"/>
      <c r="Y84" s="4"/>
      <c r="Z84" s="4"/>
      <c r="AA84" s="4">
        <f t="shared" si="32"/>
        <v>6000000</v>
      </c>
      <c r="AB84" s="4">
        <f t="shared" si="32"/>
        <v>0</v>
      </c>
      <c r="AC84" s="4">
        <f t="shared" si="33"/>
        <v>6000000</v>
      </c>
      <c r="AD84" s="43">
        <f t="shared" si="34"/>
        <v>100</v>
      </c>
      <c r="AE84" s="34"/>
      <c r="AF84" s="38"/>
      <c r="AG84" s="38"/>
      <c r="AH84" s="2"/>
      <c r="AI84" s="2"/>
    </row>
    <row r="85" spans="1:38" x14ac:dyDescent="0.25">
      <c r="A85" s="5" t="s">
        <v>38</v>
      </c>
      <c r="B85" s="4">
        <v>25200000</v>
      </c>
      <c r="C85" s="4">
        <v>2100000</v>
      </c>
      <c r="D85" s="4">
        <v>2320000</v>
      </c>
      <c r="E85" s="4">
        <f t="shared" si="18"/>
        <v>-220000</v>
      </c>
      <c r="F85" s="4">
        <f>+'202501anual'!D144</f>
        <v>2847000</v>
      </c>
      <c r="G85" s="4">
        <v>3230000</v>
      </c>
      <c r="H85" s="4">
        <f t="shared" si="19"/>
        <v>-383000</v>
      </c>
      <c r="I85" s="4">
        <f>+'202501anual'!E144</f>
        <v>2847000</v>
      </c>
      <c r="J85" s="4">
        <v>2320000</v>
      </c>
      <c r="K85" s="4">
        <f t="shared" si="28"/>
        <v>527000</v>
      </c>
      <c r="L85" s="4">
        <f>+'202501anual'!F144</f>
        <v>2847000</v>
      </c>
      <c r="M85" s="4">
        <v>2320000</v>
      </c>
      <c r="N85" s="4">
        <f t="shared" si="29"/>
        <v>527000</v>
      </c>
      <c r="O85" s="4">
        <f>+'202501anual'!G144</f>
        <v>2847000</v>
      </c>
      <c r="P85" s="4">
        <v>2320000</v>
      </c>
      <c r="Q85" s="4">
        <f t="shared" si="30"/>
        <v>527000</v>
      </c>
      <c r="R85" s="4">
        <f>+'202501anual'!H144</f>
        <v>2847000</v>
      </c>
      <c r="S85" s="4"/>
      <c r="T85" s="4">
        <f t="shared" si="31"/>
        <v>2847000</v>
      </c>
      <c r="U85" s="4"/>
      <c r="V85" s="4"/>
      <c r="W85" s="4"/>
      <c r="X85" s="4"/>
      <c r="Y85" s="4"/>
      <c r="Z85" s="4"/>
      <c r="AA85" s="4">
        <f t="shared" si="32"/>
        <v>16335000</v>
      </c>
      <c r="AB85" s="4">
        <f t="shared" si="32"/>
        <v>12510000</v>
      </c>
      <c r="AC85" s="4">
        <f t="shared" si="33"/>
        <v>3825000</v>
      </c>
      <c r="AD85" s="43">
        <f t="shared" si="34"/>
        <v>23.415977961432507</v>
      </c>
      <c r="AE85" s="34"/>
      <c r="AF85" s="38"/>
      <c r="AG85" s="38"/>
      <c r="AH85" s="2"/>
      <c r="AI85" s="2"/>
    </row>
    <row r="86" spans="1:38" x14ac:dyDescent="0.25">
      <c r="A86" s="5" t="s">
        <v>39</v>
      </c>
      <c r="B86" s="4">
        <v>709140000</v>
      </c>
      <c r="C86" s="4">
        <v>59095000</v>
      </c>
      <c r="D86" s="4">
        <v>53576000</v>
      </c>
      <c r="E86" s="4">
        <f t="shared" si="18"/>
        <v>5519000</v>
      </c>
      <c r="F86" s="4">
        <f>+'202501anual'!D145</f>
        <v>16411200</v>
      </c>
      <c r="G86" s="4">
        <v>53576000</v>
      </c>
      <c r="H86" s="4">
        <f t="shared" si="19"/>
        <v>-37164800</v>
      </c>
      <c r="I86" s="4">
        <f>+'202501anual'!E145</f>
        <v>16411200</v>
      </c>
      <c r="J86" s="4">
        <v>53576000</v>
      </c>
      <c r="K86" s="4">
        <f t="shared" si="28"/>
        <v>-37164800</v>
      </c>
      <c r="L86" s="4">
        <f>+'202501anual'!F145</f>
        <v>16411200</v>
      </c>
      <c r="M86" s="4">
        <v>53576000</v>
      </c>
      <c r="N86" s="4">
        <f t="shared" si="29"/>
        <v>-37164800</v>
      </c>
      <c r="O86" s="4">
        <f>+'202501anual'!G145</f>
        <v>16411200</v>
      </c>
      <c r="P86" s="4">
        <v>53576000</v>
      </c>
      <c r="Q86" s="4">
        <f t="shared" si="30"/>
        <v>-37164800</v>
      </c>
      <c r="R86" s="4">
        <f>+'202501anual'!H145</f>
        <v>16411200</v>
      </c>
      <c r="S86" s="4"/>
      <c r="T86" s="4">
        <f t="shared" si="31"/>
        <v>16411200</v>
      </c>
      <c r="U86" s="4"/>
      <c r="V86" s="4"/>
      <c r="W86" s="4"/>
      <c r="X86" s="4"/>
      <c r="Y86" s="4"/>
      <c r="Z86" s="4"/>
      <c r="AA86" s="4">
        <f t="shared" si="32"/>
        <v>141151000</v>
      </c>
      <c r="AB86" s="4">
        <f t="shared" si="32"/>
        <v>267880000</v>
      </c>
      <c r="AC86" s="4">
        <f t="shared" si="33"/>
        <v>-126729000</v>
      </c>
      <c r="AD86" s="43">
        <f t="shared" si="34"/>
        <v>-89.782573272594604</v>
      </c>
      <c r="AE86" s="34"/>
      <c r="AF86" s="38"/>
      <c r="AG86" s="38"/>
      <c r="AH86" s="2"/>
      <c r="AI86" s="2"/>
    </row>
    <row r="87" spans="1:38" x14ac:dyDescent="0.25">
      <c r="A87" s="12" t="s">
        <v>53</v>
      </c>
      <c r="B87" s="8">
        <f>SUM(B35:B86)</f>
        <v>2441516142</v>
      </c>
      <c r="C87" s="8">
        <f t="shared" ref="C87:AC87" si="35">SUM(C35:C86)</f>
        <v>179785359.61327934</v>
      </c>
      <c r="D87" s="8">
        <f t="shared" si="35"/>
        <v>131905273</v>
      </c>
      <c r="E87" s="8">
        <f t="shared" si="35"/>
        <v>47880086.61327935</v>
      </c>
      <c r="F87" s="8" t="e">
        <f t="shared" si="35"/>
        <v>#REF!</v>
      </c>
      <c r="G87" s="8">
        <f t="shared" si="35"/>
        <v>144410432</v>
      </c>
      <c r="H87" s="8" t="e">
        <f t="shared" si="35"/>
        <v>#REF!</v>
      </c>
      <c r="I87" s="8" t="e">
        <f t="shared" si="35"/>
        <v>#REF!</v>
      </c>
      <c r="J87" s="8">
        <f t="shared" si="35"/>
        <v>155506366.09</v>
      </c>
      <c r="K87" s="8" t="e">
        <f t="shared" si="35"/>
        <v>#REF!</v>
      </c>
      <c r="L87" s="8" t="e">
        <f t="shared" si="35"/>
        <v>#REF!</v>
      </c>
      <c r="M87" s="8">
        <f t="shared" si="35"/>
        <v>158068177.80000001</v>
      </c>
      <c r="N87" s="8" t="e">
        <f t="shared" si="35"/>
        <v>#REF!</v>
      </c>
      <c r="O87" s="8" t="e">
        <f t="shared" si="35"/>
        <v>#REF!</v>
      </c>
      <c r="P87" s="8">
        <f t="shared" si="35"/>
        <v>165802071.647838</v>
      </c>
      <c r="Q87" s="8" t="e">
        <f t="shared" si="35"/>
        <v>#REF!</v>
      </c>
      <c r="R87" s="8" t="e">
        <f t="shared" si="35"/>
        <v>#REF!</v>
      </c>
      <c r="S87" s="8">
        <f t="shared" si="35"/>
        <v>0</v>
      </c>
      <c r="T87" s="8" t="e">
        <f t="shared" si="35"/>
        <v>#REF!</v>
      </c>
      <c r="U87" s="8">
        <f t="shared" si="35"/>
        <v>0</v>
      </c>
      <c r="V87" s="8">
        <f t="shared" si="35"/>
        <v>0</v>
      </c>
      <c r="W87" s="8">
        <f t="shared" si="35"/>
        <v>0</v>
      </c>
      <c r="X87" s="8">
        <f t="shared" si="35"/>
        <v>0</v>
      </c>
      <c r="Y87" s="8">
        <f t="shared" si="35"/>
        <v>0</v>
      </c>
      <c r="Z87" s="8">
        <f t="shared" si="35"/>
        <v>0</v>
      </c>
      <c r="AA87" s="8" t="e">
        <f t="shared" si="35"/>
        <v>#REF!</v>
      </c>
      <c r="AB87" s="8">
        <f t="shared" si="35"/>
        <v>755692320.53783798</v>
      </c>
      <c r="AC87" s="8" t="e">
        <f t="shared" si="35"/>
        <v>#REF!</v>
      </c>
      <c r="AD87" s="31" t="e">
        <f>+AC87/AA87</f>
        <v>#REF!</v>
      </c>
      <c r="AE87" s="34" t="e">
        <f>+H87/F87</f>
        <v>#REF!</v>
      </c>
      <c r="AF87" s="39"/>
      <c r="AG87" s="39"/>
      <c r="AH87" s="2"/>
      <c r="AI87" s="2"/>
      <c r="AK87" s="2"/>
    </row>
    <row r="88" spans="1:38" s="1" customFormat="1" x14ac:dyDescent="0.25">
      <c r="A88" s="12" t="s">
        <v>62</v>
      </c>
      <c r="B88" s="15">
        <f>+B87+B34+B24</f>
        <v>13708301636</v>
      </c>
      <c r="C88" s="15">
        <f>+C87+C34+C24</f>
        <v>1232636553.2146487</v>
      </c>
      <c r="D88" s="15">
        <f t="shared" ref="D88:AC88" si="36">+D87+D34+D24</f>
        <v>334717391.36000001</v>
      </c>
      <c r="E88" s="15">
        <f t="shared" si="36"/>
        <v>897919161.85464871</v>
      </c>
      <c r="F88" s="15" t="e">
        <f t="shared" si="36"/>
        <v>#REF!</v>
      </c>
      <c r="G88" s="15">
        <f t="shared" si="36"/>
        <v>502692578.63999999</v>
      </c>
      <c r="H88" s="15" t="e">
        <f t="shared" si="36"/>
        <v>#REF!</v>
      </c>
      <c r="I88" s="15" t="e">
        <f t="shared" si="36"/>
        <v>#REF!</v>
      </c>
      <c r="J88" s="15" t="e">
        <f t="shared" si="36"/>
        <v>#REF!</v>
      </c>
      <c r="K88" s="15" t="e">
        <f t="shared" si="36"/>
        <v>#REF!</v>
      </c>
      <c r="L88" s="15" t="e">
        <f t="shared" si="36"/>
        <v>#REF!</v>
      </c>
      <c r="M88" s="15" t="e">
        <f t="shared" si="36"/>
        <v>#REF!</v>
      </c>
      <c r="N88" s="15" t="e">
        <f t="shared" si="36"/>
        <v>#REF!</v>
      </c>
      <c r="O88" s="15" t="e">
        <f t="shared" si="36"/>
        <v>#REF!</v>
      </c>
      <c r="P88" s="15" t="e">
        <f t="shared" si="36"/>
        <v>#REF!</v>
      </c>
      <c r="Q88" s="15" t="e">
        <f t="shared" si="36"/>
        <v>#REF!</v>
      </c>
      <c r="R88" s="15" t="e">
        <f t="shared" si="36"/>
        <v>#REF!</v>
      </c>
      <c r="S88" s="15" t="e">
        <f t="shared" si="36"/>
        <v>#REF!</v>
      </c>
      <c r="T88" s="15" t="e">
        <f t="shared" si="36"/>
        <v>#REF!</v>
      </c>
      <c r="U88" s="15">
        <f t="shared" si="36"/>
        <v>0</v>
      </c>
      <c r="V88" s="15">
        <f t="shared" si="36"/>
        <v>0</v>
      </c>
      <c r="W88" s="15">
        <f t="shared" si="36"/>
        <v>0</v>
      </c>
      <c r="X88" s="15">
        <f t="shared" si="36"/>
        <v>0</v>
      </c>
      <c r="Y88" s="15">
        <f t="shared" si="36"/>
        <v>0</v>
      </c>
      <c r="Z88" s="15">
        <f t="shared" si="36"/>
        <v>0</v>
      </c>
      <c r="AA88" s="15" t="e">
        <f>+AA87+AA34+AA24</f>
        <v>#REF!</v>
      </c>
      <c r="AB88" s="15" t="e">
        <f t="shared" si="36"/>
        <v>#VALUE!</v>
      </c>
      <c r="AC88" s="15" t="e">
        <f t="shared" si="36"/>
        <v>#REF!</v>
      </c>
      <c r="AD88" s="31" t="e">
        <f>+AC88/AA88</f>
        <v>#REF!</v>
      </c>
      <c r="AE88" s="34" t="e">
        <f>+H88/F88</f>
        <v>#REF!</v>
      </c>
      <c r="AF88" s="40" t="e">
        <f>+Q87/O87*100</f>
        <v>#REF!</v>
      </c>
      <c r="AG88" s="40"/>
      <c r="AH88" s="2"/>
      <c r="AI88" s="2"/>
    </row>
    <row r="89" spans="1:38" ht="19.5" thickBot="1" x14ac:dyDescent="0.3">
      <c r="A89" s="13" t="s">
        <v>0</v>
      </c>
      <c r="B89" s="9">
        <f>+B12-B88</f>
        <v>-9274299629.9527454</v>
      </c>
      <c r="C89" s="9">
        <f>+C12-C88</f>
        <v>-851644203.21464872</v>
      </c>
      <c r="D89" s="9">
        <f t="shared" ref="D89:AC89" si="37">+D12-D88</f>
        <v>-299698994.05000001</v>
      </c>
      <c r="E89" s="9">
        <f t="shared" si="37"/>
        <v>-551945209.16464877</v>
      </c>
      <c r="F89" s="9" t="e">
        <f t="shared" si="37"/>
        <v>#REF!</v>
      </c>
      <c r="G89" s="9">
        <f t="shared" si="37"/>
        <v>-468930778.63999999</v>
      </c>
      <c r="H89" s="9" t="e">
        <f t="shared" si="37"/>
        <v>#REF!</v>
      </c>
      <c r="I89" s="9" t="e">
        <f t="shared" si="37"/>
        <v>#REF!</v>
      </c>
      <c r="J89" s="9" t="e">
        <f t="shared" si="37"/>
        <v>#REF!</v>
      </c>
      <c r="K89" s="9" t="e">
        <f t="shared" si="37"/>
        <v>#REF!</v>
      </c>
      <c r="L89" s="9" t="e">
        <f t="shared" si="37"/>
        <v>#REF!</v>
      </c>
      <c r="M89" s="9" t="e">
        <f t="shared" si="37"/>
        <v>#REF!</v>
      </c>
      <c r="N89" s="9" t="e">
        <f t="shared" si="37"/>
        <v>#REF!</v>
      </c>
      <c r="O89" s="9" t="e">
        <f t="shared" si="37"/>
        <v>#REF!</v>
      </c>
      <c r="P89" s="9" t="e">
        <f t="shared" si="37"/>
        <v>#REF!</v>
      </c>
      <c r="Q89" s="9" t="e">
        <f t="shared" si="37"/>
        <v>#REF!</v>
      </c>
      <c r="R89" s="9" t="e">
        <f t="shared" si="37"/>
        <v>#REF!</v>
      </c>
      <c r="S89" s="9" t="e">
        <f t="shared" si="37"/>
        <v>#REF!</v>
      </c>
      <c r="T89" s="9" t="e">
        <f t="shared" si="37"/>
        <v>#REF!</v>
      </c>
      <c r="U89" s="9">
        <f t="shared" si="37"/>
        <v>0</v>
      </c>
      <c r="V89" s="9">
        <f t="shared" si="37"/>
        <v>0</v>
      </c>
      <c r="W89" s="9">
        <f t="shared" si="37"/>
        <v>0</v>
      </c>
      <c r="X89" s="9">
        <f t="shared" si="37"/>
        <v>0</v>
      </c>
      <c r="Y89" s="9">
        <f t="shared" si="37"/>
        <v>0</v>
      </c>
      <c r="Z89" s="9">
        <f t="shared" si="37"/>
        <v>0</v>
      </c>
      <c r="AA89" s="9" t="e">
        <f t="shared" si="37"/>
        <v>#REF!</v>
      </c>
      <c r="AB89" s="9" t="e">
        <f t="shared" si="37"/>
        <v>#VALUE!</v>
      </c>
      <c r="AC89" s="9" t="e">
        <f t="shared" si="37"/>
        <v>#REF!</v>
      </c>
      <c r="AD89" s="32" t="e">
        <f>+AC89/AA89</f>
        <v>#REF!</v>
      </c>
      <c r="AE89" s="34" t="e">
        <f>+H89/F89</f>
        <v>#REF!</v>
      </c>
      <c r="AF89" s="41"/>
      <c r="AG89" s="41"/>
      <c r="AH89" s="2"/>
      <c r="AI89" s="2"/>
    </row>
    <row r="90" spans="1:38" x14ac:dyDescent="0.25">
      <c r="D90" s="2"/>
      <c r="G90" s="40"/>
      <c r="H90" s="40"/>
      <c r="I90" s="2"/>
      <c r="J90" s="2"/>
      <c r="K90" s="2"/>
      <c r="R90" s="2">
        <f>+'202501anual'!H148-9590000000</f>
        <v>-8741067747.7770424</v>
      </c>
      <c r="S90" s="2"/>
      <c r="T90" s="2"/>
      <c r="V90" s="2"/>
      <c r="W90" s="2"/>
      <c r="X90" s="2"/>
      <c r="Y90" s="2"/>
      <c r="AI90" s="2"/>
    </row>
    <row r="91" spans="1:38" x14ac:dyDescent="0.25">
      <c r="G91" s="35"/>
      <c r="H91" s="35"/>
      <c r="I91" s="2" t="s">
        <v>59</v>
      </c>
      <c r="J91" s="2"/>
      <c r="K91" s="2"/>
      <c r="P91" s="24" t="e">
        <f>+P88/O88*100</f>
        <v>#REF!</v>
      </c>
      <c r="R91" s="2"/>
      <c r="S91" s="2"/>
      <c r="T91" s="2"/>
      <c r="V91" s="2"/>
      <c r="AB91" s="2" t="e">
        <f>+D89+G89+J89+M89+P89+S89</f>
        <v>#REF!</v>
      </c>
      <c r="AC91" s="2"/>
      <c r="AF91" s="2"/>
      <c r="AI91" s="2" t="e">
        <f>+#REF!</f>
        <v>#REF!</v>
      </c>
      <c r="AJ91" s="20"/>
      <c r="AL91" s="2"/>
    </row>
    <row r="92" spans="1:38" x14ac:dyDescent="0.25">
      <c r="B92" s="2"/>
      <c r="I92" s="2"/>
      <c r="J92" s="2"/>
      <c r="K92" s="2"/>
      <c r="R92" s="2" t="e">
        <f>+C88+F88+I88+L88+O88+R88</f>
        <v>#REF!</v>
      </c>
      <c r="S92" s="2"/>
      <c r="T92" s="2"/>
      <c r="V92" s="2"/>
      <c r="AB92" s="2" t="e">
        <f>+C88+F88+I88+L88+O88+R88</f>
        <v>#REF!</v>
      </c>
      <c r="AI92" s="2">
        <f>815000000*1.07</f>
        <v>872050000</v>
      </c>
      <c r="AJ92" s="20"/>
      <c r="AL92" s="2"/>
    </row>
    <row r="93" spans="1:38" x14ac:dyDescent="0.25">
      <c r="B93" s="2"/>
      <c r="V93" s="2"/>
      <c r="AB93" s="2" t="e">
        <f>+E89+H89+K89+N89+Q89+S89</f>
        <v>#REF!</v>
      </c>
      <c r="AC93" s="3"/>
      <c r="AF93" s="2"/>
      <c r="AI93" s="2">
        <v>-1173139539</v>
      </c>
      <c r="AJ93" s="20"/>
    </row>
    <row r="94" spans="1:38" x14ac:dyDescent="0.25">
      <c r="V94" s="2"/>
      <c r="AC94" s="2"/>
      <c r="AI94" s="2">
        <v>-272818809</v>
      </c>
      <c r="AJ94" s="20">
        <v>371527244</v>
      </c>
      <c r="AK94" s="2">
        <f>+AJ94+AI94</f>
        <v>98708435</v>
      </c>
    </row>
    <row r="95" spans="1:38" x14ac:dyDescent="0.25">
      <c r="B95" s="2"/>
      <c r="V95" s="2"/>
      <c r="AC95" s="2"/>
      <c r="AI95" s="2">
        <f>-(2000000-1920114)*12</f>
        <v>-958632</v>
      </c>
      <c r="AJ95" s="2"/>
    </row>
    <row r="96" spans="1:38" x14ac:dyDescent="0.25">
      <c r="D96" s="2"/>
      <c r="E96" s="2"/>
      <c r="V96" s="2"/>
      <c r="AA96" s="2"/>
      <c r="AB96" s="2"/>
      <c r="AC96" s="3"/>
      <c r="AI96" s="2">
        <v>-49700000</v>
      </c>
      <c r="AJ96" s="2"/>
    </row>
    <row r="97" spans="3:35" x14ac:dyDescent="0.25">
      <c r="C97" s="3"/>
      <c r="D97" s="3"/>
      <c r="E97" s="42"/>
      <c r="AB97" s="2"/>
      <c r="AC97" s="24"/>
      <c r="AI97" s="2" t="e">
        <f>-AC33</f>
        <v>#REF!</v>
      </c>
    </row>
    <row r="98" spans="3:35" x14ac:dyDescent="0.25">
      <c r="D98" s="2"/>
      <c r="AB98" s="2"/>
      <c r="AI98" s="2">
        <f>-AC81</f>
        <v>-90000000</v>
      </c>
    </row>
    <row r="99" spans="3:35" x14ac:dyDescent="0.25">
      <c r="AI99" s="2">
        <f>+AH23</f>
        <v>0</v>
      </c>
    </row>
    <row r="100" spans="3:35" x14ac:dyDescent="0.25">
      <c r="D100" s="2"/>
      <c r="AI100" s="2" t="e">
        <f>SUM(AI91:AI99)</f>
        <v>#REF!</v>
      </c>
    </row>
    <row r="101" spans="3:35" x14ac:dyDescent="0.25">
      <c r="AB101" s="2"/>
      <c r="AI101" s="2" t="e">
        <f>+AI100-AC89</f>
        <v>#REF!</v>
      </c>
    </row>
    <row r="104" spans="3:35" x14ac:dyDescent="0.25">
      <c r="P104" s="2"/>
    </row>
  </sheetData>
  <autoFilter ref="A5:AD89" xr:uid="{4C861BE8-7E5D-4966-A65F-7599F5FEBCAA}"/>
  <mergeCells count="9">
    <mergeCell ref="A1:C1"/>
    <mergeCell ref="A3:AD3"/>
    <mergeCell ref="C4:E4"/>
    <mergeCell ref="F4:H4"/>
    <mergeCell ref="I4:K4"/>
    <mergeCell ref="L4:N4"/>
    <mergeCell ref="O4:Q4"/>
    <mergeCell ref="R4:T4"/>
    <mergeCell ref="AA4:AD4"/>
  </mergeCells>
  <pageMargins left="0.39370078740157483" right="0.39370078740157483" top="0.19685039370078741" bottom="0.39370078740157483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4F7BA-7178-4E52-A3DE-25B29DEDE3B6}">
  <dimension ref="A1:Z179"/>
  <sheetViews>
    <sheetView showGridLines="0" zoomScale="86" zoomScaleNormal="86" workbookViewId="0">
      <pane xSplit="2" ySplit="5" topLeftCell="K6" activePane="bottomRight" state="frozen"/>
      <selection activeCell="F87" sqref="F87"/>
      <selection pane="topRight" activeCell="F87" sqref="F87"/>
      <selection pane="bottomLeft" activeCell="F87" sqref="F87"/>
      <selection pane="bottomRight" activeCell="N28" sqref="N28"/>
    </sheetView>
  </sheetViews>
  <sheetFormatPr baseColWidth="10" defaultColWidth="11.42578125" defaultRowHeight="15" x14ac:dyDescent="0.25"/>
  <cols>
    <col min="1" max="1" width="54.140625" customWidth="1"/>
    <col min="2" max="2" width="15.5703125" bestFit="1" customWidth="1"/>
    <col min="3" max="3" width="15.5703125" hidden="1" customWidth="1"/>
    <col min="4" max="10" width="17.28515625" hidden="1" customWidth="1"/>
    <col min="11" max="12" width="17.28515625" customWidth="1"/>
    <col min="13" max="14" width="16.7109375" customWidth="1"/>
    <col min="15" max="15" width="17.85546875" customWidth="1"/>
    <col min="16" max="16" width="19.7109375" bestFit="1" customWidth="1"/>
    <col min="17" max="17" width="15.85546875" bestFit="1" customWidth="1"/>
    <col min="18" max="18" width="18.42578125" bestFit="1" customWidth="1"/>
    <col min="19" max="19" width="15.5703125" customWidth="1"/>
    <col min="20" max="20" width="17.28515625" customWidth="1"/>
    <col min="21" max="21" width="18.42578125" customWidth="1"/>
    <col min="22" max="24" width="15.5703125" customWidth="1"/>
    <col min="25" max="26" width="14" customWidth="1"/>
    <col min="27" max="27" width="11.42578125" customWidth="1"/>
  </cols>
  <sheetData>
    <row r="1" spans="1:20" x14ac:dyDescent="0.25">
      <c r="A1" s="167" t="s">
        <v>51</v>
      </c>
      <c r="B1" s="167"/>
      <c r="C1" s="167"/>
    </row>
    <row r="2" spans="1:20" x14ac:dyDescent="0.25">
      <c r="A2" s="14"/>
      <c r="B2" s="14"/>
      <c r="C2" s="14"/>
    </row>
    <row r="3" spans="1:20" x14ac:dyDescent="0.25">
      <c r="A3" s="168"/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23"/>
      <c r="Q3" s="23"/>
      <c r="R3" s="23"/>
    </row>
    <row r="4" spans="1:20" ht="15.75" thickBot="1" x14ac:dyDescent="0.3">
      <c r="A4" s="23"/>
      <c r="B4" s="23"/>
      <c r="C4" s="25"/>
      <c r="D4" s="25"/>
      <c r="E4" s="23"/>
      <c r="F4" s="23"/>
      <c r="G4" s="23"/>
      <c r="H4" s="23"/>
      <c r="I4" s="23"/>
      <c r="J4" s="23"/>
      <c r="K4" s="23"/>
      <c r="L4" s="23"/>
      <c r="M4" s="23"/>
      <c r="N4" s="23"/>
      <c r="O4" s="44"/>
      <c r="P4" s="23"/>
      <c r="Q4" s="23"/>
      <c r="R4" s="23"/>
    </row>
    <row r="5" spans="1:20" s="19" customFormat="1" ht="30" x14ac:dyDescent="0.25">
      <c r="A5" s="16" t="s">
        <v>50</v>
      </c>
      <c r="B5" s="17" t="s">
        <v>188</v>
      </c>
      <c r="C5" s="17" t="s">
        <v>40</v>
      </c>
      <c r="D5" s="17" t="s">
        <v>41</v>
      </c>
      <c r="E5" s="17" t="s">
        <v>42</v>
      </c>
      <c r="F5" s="17" t="s">
        <v>43</v>
      </c>
      <c r="G5" s="17" t="s">
        <v>44</v>
      </c>
      <c r="H5" s="17" t="s">
        <v>6</v>
      </c>
      <c r="I5" s="17" t="s">
        <v>5</v>
      </c>
      <c r="J5" s="17" t="s">
        <v>45</v>
      </c>
      <c r="K5" s="17" t="s">
        <v>46</v>
      </c>
      <c r="L5" s="17" t="s">
        <v>47</v>
      </c>
      <c r="M5" s="17" t="s">
        <v>4</v>
      </c>
      <c r="N5" s="17" t="s">
        <v>3</v>
      </c>
      <c r="O5" s="28" t="s">
        <v>102</v>
      </c>
      <c r="P5" s="33"/>
      <c r="Q5" s="33"/>
      <c r="R5" s="33"/>
    </row>
    <row r="6" spans="1:20" x14ac:dyDescent="0.25">
      <c r="A6" s="5" t="s">
        <v>94</v>
      </c>
      <c r="B6" s="4">
        <v>298887114.94377714</v>
      </c>
      <c r="C6" s="4">
        <v>24907259.578648102</v>
      </c>
      <c r="D6" s="4">
        <v>24907259.578648102</v>
      </c>
      <c r="E6" s="4">
        <v>24907259.578648102</v>
      </c>
      <c r="F6" s="119">
        <v>24907259.578648102</v>
      </c>
      <c r="G6" s="4">
        <v>24907259.578648102</v>
      </c>
      <c r="H6" s="4">
        <v>24907259.578648102</v>
      </c>
      <c r="I6" s="4">
        <v>24907259.578648102</v>
      </c>
      <c r="J6" s="4">
        <v>24907259.578648102</v>
      </c>
      <c r="K6" s="4">
        <v>24907259.578648102</v>
      </c>
      <c r="L6" s="4">
        <v>24907259.578648102</v>
      </c>
      <c r="M6" s="4">
        <v>24907259.578648102</v>
      </c>
      <c r="N6" s="4">
        <v>24907259.578648102</v>
      </c>
      <c r="O6" s="4">
        <f t="shared" ref="O6:O14" si="0">SUM(C6:N6)</f>
        <v>298887114.94377714</v>
      </c>
      <c r="P6" s="34"/>
      <c r="Q6" s="40"/>
      <c r="R6" s="34"/>
      <c r="S6" s="2"/>
      <c r="T6" s="2"/>
    </row>
    <row r="7" spans="1:20" x14ac:dyDescent="0.25">
      <c r="A7" s="5" t="s">
        <v>95</v>
      </c>
      <c r="B7" s="4">
        <v>878092729.02000034</v>
      </c>
      <c r="C7" s="4">
        <v>73174394.085000008</v>
      </c>
      <c r="D7" s="4">
        <v>73174394.085000008</v>
      </c>
      <c r="E7" s="4">
        <v>73174394.085000008</v>
      </c>
      <c r="F7" s="119">
        <v>73174394.085000008</v>
      </c>
      <c r="G7" s="4">
        <v>73174394.085000008</v>
      </c>
      <c r="H7" s="4">
        <v>73174394.085000008</v>
      </c>
      <c r="I7" s="4">
        <v>73174394.085000008</v>
      </c>
      <c r="J7" s="4">
        <v>73174394.085000008</v>
      </c>
      <c r="K7" s="4">
        <v>73174394.085000008</v>
      </c>
      <c r="L7" s="4">
        <v>73174394.085000008</v>
      </c>
      <c r="M7" s="4">
        <v>73174394.085000008</v>
      </c>
      <c r="N7" s="4">
        <v>73174394.085000008</v>
      </c>
      <c r="O7" s="4">
        <f t="shared" si="0"/>
        <v>878092729.02000034</v>
      </c>
      <c r="P7" s="34"/>
      <c r="Q7" s="40"/>
      <c r="R7" s="35"/>
      <c r="S7" s="2"/>
      <c r="T7" s="2"/>
    </row>
    <row r="8" spans="1:20" x14ac:dyDescent="0.25">
      <c r="A8" s="5" t="s">
        <v>121</v>
      </c>
      <c r="B8" s="4">
        <v>19080000</v>
      </c>
      <c r="C8" s="4">
        <v>1590000</v>
      </c>
      <c r="D8" s="4">
        <v>1590000</v>
      </c>
      <c r="E8" s="4">
        <v>1590000</v>
      </c>
      <c r="F8" s="4">
        <v>1590000</v>
      </c>
      <c r="G8" s="4">
        <v>1590000</v>
      </c>
      <c r="H8" s="4">
        <v>1590000</v>
      </c>
      <c r="I8" s="4">
        <v>1590000</v>
      </c>
      <c r="J8" s="4">
        <v>1590000</v>
      </c>
      <c r="K8" s="4">
        <v>1590000</v>
      </c>
      <c r="L8" s="4">
        <v>1590000</v>
      </c>
      <c r="M8" s="4">
        <v>1590000</v>
      </c>
      <c r="N8" s="4">
        <v>1590000</v>
      </c>
      <c r="O8" s="4">
        <f t="shared" si="0"/>
        <v>19080000</v>
      </c>
      <c r="P8" s="34"/>
      <c r="Q8" s="40"/>
      <c r="R8" s="34"/>
      <c r="S8" s="2"/>
      <c r="T8" s="2"/>
    </row>
    <row r="9" spans="1:20" x14ac:dyDescent="0.25">
      <c r="A9" s="5" t="s">
        <v>122</v>
      </c>
      <c r="B9" s="4">
        <v>12000000</v>
      </c>
      <c r="C9" s="4">
        <v>1000000</v>
      </c>
      <c r="D9" s="4">
        <v>1000000</v>
      </c>
      <c r="E9" s="4">
        <v>1000000</v>
      </c>
      <c r="F9" s="4">
        <v>1000000</v>
      </c>
      <c r="G9" s="4">
        <v>1000000</v>
      </c>
      <c r="H9" s="4">
        <v>1000000</v>
      </c>
      <c r="I9" s="4">
        <v>1000000</v>
      </c>
      <c r="J9" s="4">
        <v>1000000</v>
      </c>
      <c r="K9" s="4">
        <v>1000000</v>
      </c>
      <c r="L9" s="4">
        <v>1000000</v>
      </c>
      <c r="M9" s="4">
        <v>1000000</v>
      </c>
      <c r="N9" s="4">
        <v>1000000</v>
      </c>
      <c r="O9" s="4">
        <f t="shared" si="0"/>
        <v>12000000</v>
      </c>
      <c r="P9" s="34"/>
      <c r="Q9" s="40"/>
      <c r="R9" s="34"/>
      <c r="S9" s="2"/>
      <c r="T9" s="2"/>
    </row>
    <row r="10" spans="1:20" x14ac:dyDescent="0.25">
      <c r="A10" s="5" t="s">
        <v>123</v>
      </c>
      <c r="B10" s="4">
        <v>1071000000</v>
      </c>
      <c r="C10" s="4">
        <v>89250000</v>
      </c>
      <c r="D10" s="4">
        <v>89250000</v>
      </c>
      <c r="E10" s="4">
        <v>89250000</v>
      </c>
      <c r="F10" s="4">
        <v>89250000</v>
      </c>
      <c r="G10" s="4">
        <v>89250000</v>
      </c>
      <c r="H10" s="4">
        <v>89250000</v>
      </c>
      <c r="I10" s="4">
        <v>89250000</v>
      </c>
      <c r="J10" s="4">
        <v>89250000</v>
      </c>
      <c r="K10" s="4">
        <v>89250000</v>
      </c>
      <c r="L10" s="4">
        <v>89250000</v>
      </c>
      <c r="M10" s="4">
        <v>89250000</v>
      </c>
      <c r="N10" s="4">
        <v>89250000</v>
      </c>
      <c r="O10" s="4">
        <f t="shared" si="0"/>
        <v>1071000000</v>
      </c>
      <c r="P10" s="34"/>
      <c r="Q10" s="40"/>
      <c r="R10" s="34"/>
      <c r="S10" s="2"/>
      <c r="T10" s="2"/>
    </row>
    <row r="11" spans="1:20" x14ac:dyDescent="0.25">
      <c r="A11" s="5" t="str">
        <f>+'[7]Planeación 2024 P&amp;K Hoja de W'!$C$10</f>
        <v>Cargo fijo alcantarillado</v>
      </c>
      <c r="B11" s="4">
        <v>3606320.4951923876</v>
      </c>
      <c r="C11" s="4">
        <v>300526.70793269889</v>
      </c>
      <c r="D11" s="4">
        <v>300526.70793269889</v>
      </c>
      <c r="E11" s="4">
        <v>300526.70793269889</v>
      </c>
      <c r="F11" s="4">
        <v>300526.70793269889</v>
      </c>
      <c r="G11" s="4">
        <v>300526.70793269889</v>
      </c>
      <c r="H11" s="4">
        <v>300526.70793269889</v>
      </c>
      <c r="I11" s="4">
        <v>300526.70793269889</v>
      </c>
      <c r="J11" s="4">
        <v>300526.70793269889</v>
      </c>
      <c r="K11" s="4">
        <v>300526.70793269889</v>
      </c>
      <c r="L11" s="4">
        <v>300526.70793269889</v>
      </c>
      <c r="M11" s="4">
        <v>300526.70793269889</v>
      </c>
      <c r="N11" s="4">
        <v>300526.70793269889</v>
      </c>
      <c r="O11" s="4">
        <f t="shared" si="0"/>
        <v>3606320.4951923876</v>
      </c>
      <c r="P11" s="34"/>
      <c r="Q11" s="40"/>
      <c r="R11" s="34"/>
      <c r="S11" s="2"/>
      <c r="T11" s="2"/>
    </row>
    <row r="12" spans="1:20" x14ac:dyDescent="0.25">
      <c r="A12" s="5" t="str">
        <f>+'[7]Planeación 2024 P&amp;K Hoja de W'!$C$11</f>
        <v>Cargo variable alcantarillado</v>
      </c>
      <c r="B12" s="4">
        <v>6108730.2319781845</v>
      </c>
      <c r="C12" s="4">
        <v>509060.85266484861</v>
      </c>
      <c r="D12" s="4">
        <v>509060.85266484861</v>
      </c>
      <c r="E12" s="4">
        <v>509060.85266484861</v>
      </c>
      <c r="F12" s="4">
        <v>509060.85266484861</v>
      </c>
      <c r="G12" s="4">
        <v>509060.85266484861</v>
      </c>
      <c r="H12" s="4">
        <v>509060.85266484861</v>
      </c>
      <c r="I12" s="4">
        <v>509060.85266484861</v>
      </c>
      <c r="J12" s="4">
        <v>509060.85266484861</v>
      </c>
      <c r="K12" s="4">
        <v>509060.85266484861</v>
      </c>
      <c r="L12" s="4">
        <v>509060.85266484861</v>
      </c>
      <c r="M12" s="4">
        <v>509060.85266484861</v>
      </c>
      <c r="N12" s="4">
        <v>509060.85266484861</v>
      </c>
      <c r="O12" s="4">
        <f t="shared" si="0"/>
        <v>6108730.2319781845</v>
      </c>
      <c r="P12" s="34"/>
      <c r="Q12" s="40"/>
      <c r="R12" s="34"/>
      <c r="S12" s="2"/>
      <c r="T12" s="2"/>
    </row>
    <row r="13" spans="1:20" x14ac:dyDescent="0.25">
      <c r="A13" s="5" t="s">
        <v>175</v>
      </c>
      <c r="B13" s="4">
        <v>85000000</v>
      </c>
      <c r="C13" s="4">
        <v>2500000</v>
      </c>
      <c r="D13" s="4">
        <v>2500000</v>
      </c>
      <c r="E13" s="4">
        <v>8000000</v>
      </c>
      <c r="F13" s="4">
        <v>8000000</v>
      </c>
      <c r="G13" s="4">
        <v>8000000</v>
      </c>
      <c r="H13" s="4">
        <v>8000000</v>
      </c>
      <c r="I13" s="4">
        <v>8000000</v>
      </c>
      <c r="J13" s="4">
        <v>8000000</v>
      </c>
      <c r="K13" s="4">
        <v>8000000</v>
      </c>
      <c r="L13" s="4">
        <v>8000000</v>
      </c>
      <c r="M13" s="4">
        <v>8000000</v>
      </c>
      <c r="N13" s="4">
        <v>8000000</v>
      </c>
      <c r="O13" s="4">
        <f t="shared" si="0"/>
        <v>85000000</v>
      </c>
      <c r="P13" s="34"/>
      <c r="Q13" s="40"/>
      <c r="R13" s="34"/>
      <c r="S13" s="2"/>
      <c r="T13" s="2"/>
    </row>
    <row r="14" spans="1:20" x14ac:dyDescent="0.25">
      <c r="A14" s="5" t="s">
        <v>124</v>
      </c>
      <c r="B14" s="4">
        <v>6158975090.9499998</v>
      </c>
      <c r="C14" s="4"/>
      <c r="D14" s="4"/>
      <c r="E14" s="4">
        <v>4252695959</v>
      </c>
      <c r="F14" s="4"/>
      <c r="G14" s="4"/>
      <c r="H14" s="4"/>
      <c r="I14" s="4">
        <v>0</v>
      </c>
      <c r="J14" s="115">
        <v>1906279131.95</v>
      </c>
      <c r="K14" s="4">
        <v>0</v>
      </c>
      <c r="L14" s="4">
        <v>0</v>
      </c>
      <c r="M14" s="4">
        <v>0</v>
      </c>
      <c r="N14" s="4">
        <v>0</v>
      </c>
      <c r="O14" s="4">
        <f t="shared" si="0"/>
        <v>6158975090.9499998</v>
      </c>
      <c r="P14" s="34">
        <f>SUM(H6:N13)</f>
        <v>1391118688.5697205</v>
      </c>
      <c r="Q14" s="40"/>
      <c r="R14" s="34"/>
      <c r="S14" s="2"/>
      <c r="T14" s="2"/>
    </row>
    <row r="15" spans="1:20" ht="18.75" x14ac:dyDescent="0.3">
      <c r="A15" s="11" t="s">
        <v>2</v>
      </c>
      <c r="B15" s="7">
        <f t="shared" ref="B15:O15" si="1">SUM(B6:B14)</f>
        <v>8532749985.6409483</v>
      </c>
      <c r="C15" s="7">
        <f t="shared" si="1"/>
        <v>193231241.2242457</v>
      </c>
      <c r="D15" s="7">
        <f t="shared" si="1"/>
        <v>193231241.2242457</v>
      </c>
      <c r="E15" s="7">
        <f t="shared" si="1"/>
        <v>4451427200.224246</v>
      </c>
      <c r="F15" s="7">
        <f>SUM(F6:F14)</f>
        <v>198731241.2242457</v>
      </c>
      <c r="G15" s="7">
        <f t="shared" si="1"/>
        <v>198731241.2242457</v>
      </c>
      <c r="H15" s="7">
        <f t="shared" si="1"/>
        <v>198731241.2242457</v>
      </c>
      <c r="I15" s="7">
        <f t="shared" si="1"/>
        <v>198731241.2242457</v>
      </c>
      <c r="J15" s="7">
        <f t="shared" si="1"/>
        <v>2105010373.1742458</v>
      </c>
      <c r="K15" s="7">
        <f t="shared" si="1"/>
        <v>198731241.2242457</v>
      </c>
      <c r="L15" s="7">
        <f t="shared" si="1"/>
        <v>198731241.2242457</v>
      </c>
      <c r="M15" s="7">
        <f t="shared" si="1"/>
        <v>198731241.2242457</v>
      </c>
      <c r="N15" s="7">
        <f t="shared" si="1"/>
        <v>198731241.2242457</v>
      </c>
      <c r="O15" s="7">
        <f t="shared" si="1"/>
        <v>8532749985.6409483</v>
      </c>
      <c r="P15" s="34"/>
      <c r="Q15" s="40"/>
      <c r="R15" s="35"/>
      <c r="S15" s="2"/>
      <c r="T15" s="2"/>
    </row>
    <row r="16" spans="1:20" x14ac:dyDescent="0.25">
      <c r="A16" s="5" t="s">
        <v>36</v>
      </c>
      <c r="B16" s="4">
        <v>1033405164.3971511</v>
      </c>
      <c r="C16" s="4">
        <f>+B16/12</f>
        <v>86117097.033095926</v>
      </c>
      <c r="D16" s="4">
        <f>+C16</f>
        <v>86117097.033095926</v>
      </c>
      <c r="E16" s="85">
        <f>+D16</f>
        <v>86117097.033095926</v>
      </c>
      <c r="F16" s="119">
        <f t="shared" ref="F16:M16" si="2">+E16</f>
        <v>86117097.033095926</v>
      </c>
      <c r="G16" s="120">
        <f>+F16</f>
        <v>86117097.033095926</v>
      </c>
      <c r="H16" s="120">
        <f>+G16</f>
        <v>86117097.033095926</v>
      </c>
      <c r="I16" s="120">
        <f t="shared" si="2"/>
        <v>86117097.033095926</v>
      </c>
      <c r="J16" s="89">
        <f t="shared" si="2"/>
        <v>86117097.033095926</v>
      </c>
      <c r="K16" s="46">
        <f>+J16</f>
        <v>86117097.033095926</v>
      </c>
      <c r="L16" s="4">
        <f t="shared" si="2"/>
        <v>86117097.033095926</v>
      </c>
      <c r="M16" s="4">
        <f t="shared" si="2"/>
        <v>86117097.033095926</v>
      </c>
      <c r="N16" s="4">
        <f>+M16</f>
        <v>86117097.033095926</v>
      </c>
      <c r="O16" s="4">
        <f t="shared" ref="O16:O37" si="3">SUM(C16:N16)</f>
        <v>1033405164.3971514</v>
      </c>
      <c r="P16" s="34"/>
      <c r="Q16" s="40"/>
      <c r="R16" s="36"/>
      <c r="S16" s="2"/>
      <c r="T16" s="2"/>
    </row>
    <row r="17" spans="1:26" ht="45" x14ac:dyDescent="0.25">
      <c r="A17" s="21" t="s">
        <v>65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>
        <f t="shared" si="3"/>
        <v>0</v>
      </c>
      <c r="P17" s="34"/>
      <c r="Q17" s="40"/>
      <c r="R17" s="36"/>
      <c r="S17" s="2"/>
      <c r="T17" s="2"/>
    </row>
    <row r="18" spans="1:26" x14ac:dyDescent="0.25">
      <c r="A18" s="55" t="s">
        <v>9</v>
      </c>
      <c r="B18" s="10">
        <f>SUM(B19:B26)</f>
        <v>378000000</v>
      </c>
      <c r="C18" s="10">
        <f t="shared" ref="C18:M18" si="4">SUM(C19:C26)</f>
        <v>0</v>
      </c>
      <c r="D18" s="10">
        <f t="shared" si="4"/>
        <v>0</v>
      </c>
      <c r="E18" s="10">
        <f t="shared" si="4"/>
        <v>0</v>
      </c>
      <c r="F18" s="10">
        <f t="shared" si="4"/>
        <v>39000000</v>
      </c>
      <c r="G18" s="10">
        <f t="shared" si="4"/>
        <v>42000000</v>
      </c>
      <c r="H18" s="10">
        <f t="shared" si="4"/>
        <v>27000000</v>
      </c>
      <c r="I18" s="10">
        <f t="shared" si="4"/>
        <v>34500000</v>
      </c>
      <c r="J18" s="10">
        <f t="shared" si="4"/>
        <v>46000000</v>
      </c>
      <c r="K18" s="10">
        <f t="shared" si="4"/>
        <v>6000000</v>
      </c>
      <c r="L18" s="10">
        <f t="shared" si="4"/>
        <v>38500000</v>
      </c>
      <c r="M18" s="10">
        <f t="shared" si="4"/>
        <v>14500000</v>
      </c>
      <c r="N18" s="10">
        <f>SUM(N19:N35)</f>
        <v>46000000</v>
      </c>
      <c r="O18" s="4">
        <f>SUM(C18:N18)-80000000</f>
        <v>213500000</v>
      </c>
      <c r="P18" s="34"/>
      <c r="Q18" s="40"/>
      <c r="R18" s="36"/>
      <c r="S18" s="2"/>
      <c r="T18" s="37"/>
      <c r="U18" s="20"/>
      <c r="V18" s="20"/>
      <c r="W18" s="20"/>
      <c r="X18" s="20"/>
      <c r="Y18" s="20"/>
      <c r="Z18" s="20"/>
    </row>
    <row r="19" spans="1:26" x14ac:dyDescent="0.25">
      <c r="A19" s="5" t="s">
        <v>206</v>
      </c>
      <c r="B19" s="4">
        <v>0</v>
      </c>
      <c r="C19" s="4"/>
      <c r="D19" s="4"/>
      <c r="E19" s="4"/>
      <c r="F19" s="4"/>
      <c r="G19" s="4"/>
      <c r="H19" s="4"/>
      <c r="I19" s="4">
        <v>0</v>
      </c>
      <c r="J19" s="89"/>
      <c r="K19" s="4"/>
      <c r="L19" s="4">
        <v>0</v>
      </c>
      <c r="M19" s="4"/>
      <c r="N19" s="4"/>
      <c r="O19" s="4">
        <f t="shared" si="3"/>
        <v>0</v>
      </c>
      <c r="P19" s="34"/>
      <c r="Q19" s="40"/>
      <c r="R19" s="36"/>
      <c r="S19" s="2"/>
      <c r="T19" s="37"/>
      <c r="U19" s="20"/>
      <c r="V19" s="20"/>
      <c r="W19" s="20"/>
      <c r="X19" s="20"/>
      <c r="Y19" s="20"/>
      <c r="Z19" s="20"/>
    </row>
    <row r="20" spans="1:26" x14ac:dyDescent="0.25">
      <c r="A20" s="5" t="s">
        <v>126</v>
      </c>
      <c r="B20" s="4">
        <v>55000000</v>
      </c>
      <c r="C20" s="4"/>
      <c r="D20" s="4"/>
      <c r="E20" s="4"/>
      <c r="F20" s="4">
        <v>0</v>
      </c>
      <c r="G20" s="4">
        <v>0</v>
      </c>
      <c r="H20" s="4">
        <f>+'[8]Planeación 2025 P&amp;K (def Mod1)'!N22</f>
        <v>15000000</v>
      </c>
      <c r="I20" s="4">
        <f>+'[8]Planeación 2025 P&amp;K (def Mod1)'!O22</f>
        <v>0</v>
      </c>
      <c r="J20" s="4">
        <v>0</v>
      </c>
      <c r="K20" s="46">
        <v>0</v>
      </c>
      <c r="L20" s="4">
        <f>+'[8]Planeación 2025 P&amp;K (def Mod1)'!$R$50</f>
        <v>5000000</v>
      </c>
      <c r="M20" s="4"/>
      <c r="N20" s="4"/>
      <c r="O20" s="4">
        <f>SUM(C20:N20)-15000000</f>
        <v>5000000</v>
      </c>
      <c r="P20" s="34"/>
      <c r="Q20" s="40"/>
      <c r="R20" s="36"/>
      <c r="S20" s="2"/>
      <c r="T20" s="37"/>
      <c r="U20" s="20"/>
      <c r="V20" s="20"/>
      <c r="W20" s="20"/>
      <c r="X20" s="20"/>
      <c r="Y20" s="20"/>
      <c r="Z20" s="20"/>
    </row>
    <row r="21" spans="1:26" x14ac:dyDescent="0.25">
      <c r="A21" s="5" t="s">
        <v>202</v>
      </c>
      <c r="B21" s="85">
        <v>75000000</v>
      </c>
      <c r="C21" s="4"/>
      <c r="D21" s="4"/>
      <c r="E21" s="4"/>
      <c r="F21" s="119">
        <f>+'[8]Planeación 2025 P&amp;K (def Mod1)'!L$17+'[8]Planeación 2025 P&amp;K (def Mod1)'!L$18</f>
        <v>27500000</v>
      </c>
      <c r="G21" s="119">
        <f>+'[8]Planeación 2025 P&amp;K (def Mod1)'!M$17+'[8]Planeación 2025 P&amp;K (def Mod1)'!M$18</f>
        <v>0</v>
      </c>
      <c r="H21" s="4"/>
      <c r="I21" s="4"/>
      <c r="J21" s="120">
        <f>+'[8]Planeación 2025 P&amp;K (def Mod1)'!$P$17</f>
        <v>20000000</v>
      </c>
      <c r="K21" s="4"/>
      <c r="L21" s="4">
        <f>+'[8]Planeación 2025 P&amp;K (def Mod1)'!$R$18</f>
        <v>7500000</v>
      </c>
      <c r="M21" s="4">
        <f>+'[8]Planeación 2025 P&amp;K (def Mod1)'!$S$19</f>
        <v>2500000</v>
      </c>
      <c r="N21" s="4">
        <f>+'[8]Planeación 2025 P&amp;K (def Mod1)'!$T$17+'[8]Planeación 2025 P&amp;K (def Mod1)'!$T$18</f>
        <v>20000000</v>
      </c>
      <c r="O21" s="4">
        <f>SUM(C21:N21)-25000000</f>
        <v>52500000</v>
      </c>
      <c r="P21" s="34"/>
      <c r="Q21" s="40"/>
      <c r="R21" s="36"/>
      <c r="S21" s="2"/>
      <c r="T21" s="37"/>
      <c r="U21" s="20"/>
      <c r="V21" s="20"/>
      <c r="W21" s="20"/>
      <c r="X21" s="20"/>
      <c r="Y21" s="20"/>
      <c r="Z21" s="20"/>
    </row>
    <row r="22" spans="1:26" x14ac:dyDescent="0.25">
      <c r="A22" s="5" t="s">
        <v>196</v>
      </c>
      <c r="B22" s="4">
        <v>51000000</v>
      </c>
      <c r="C22" s="4"/>
      <c r="D22" s="4"/>
      <c r="E22" s="4"/>
      <c r="F22" s="4">
        <f>+'[8]Planeación 2025 P&amp;K (def Mod1)'!L25</f>
        <v>3000000</v>
      </c>
      <c r="G22" s="124">
        <f>+'[8]Planeación 2025 P&amp;K (def Mod1)'!M25</f>
        <v>6000000</v>
      </c>
      <c r="H22" s="124">
        <f>+'[8]Planeación 2025 P&amp;K (def Mod1)'!N25</f>
        <v>6000000</v>
      </c>
      <c r="I22" s="124">
        <f>+'[8]Planeación 2025 P&amp;K (def Mod1)'!$O$25</f>
        <v>6000000</v>
      </c>
      <c r="J22" s="4"/>
      <c r="K22" s="4"/>
      <c r="L22" s="4"/>
      <c r="M22" s="4">
        <f>+'[8]Planeación 2025 P&amp;K (def Mod1)'!$S$25</f>
        <v>6000000</v>
      </c>
      <c r="N22" s="4"/>
      <c r="O22" s="4">
        <f t="shared" si="3"/>
        <v>27000000</v>
      </c>
      <c r="P22" s="34"/>
      <c r="Q22" s="40"/>
      <c r="R22" s="36"/>
      <c r="S22" s="2"/>
      <c r="T22" s="37"/>
      <c r="U22" s="20"/>
      <c r="V22" s="20"/>
      <c r="W22" s="20"/>
      <c r="X22" s="20"/>
      <c r="Y22" s="20"/>
      <c r="Z22" s="20"/>
    </row>
    <row r="23" spans="1:26" x14ac:dyDescent="0.25">
      <c r="A23" s="5" t="s">
        <v>127</v>
      </c>
      <c r="B23" s="4">
        <v>7500000</v>
      </c>
      <c r="C23" s="4"/>
      <c r="D23" s="4"/>
      <c r="E23" s="116"/>
      <c r="F23" s="119">
        <f>+'[8]Planeación 2025 P&amp;K (def Mod1)'!L19</f>
        <v>2500000</v>
      </c>
      <c r="G23" s="119">
        <f>+'[8]Planeación 2025 P&amp;K (def Mod1)'!M19</f>
        <v>0</v>
      </c>
      <c r="H23" s="4"/>
      <c r="I23" s="51">
        <f>+'[8]Planeación 2025 P&amp;K (def Mod1)'!$O$19</f>
        <v>2500000</v>
      </c>
      <c r="J23" s="4"/>
      <c r="K23" s="4"/>
      <c r="L23" s="4"/>
      <c r="M23" s="4"/>
      <c r="N23" s="4">
        <f>+'[8]Planeación 2025 P&amp;K (def Mod1)'!$T$19</f>
        <v>0</v>
      </c>
      <c r="O23" s="4">
        <f t="shared" si="3"/>
        <v>5000000</v>
      </c>
      <c r="P23" s="34"/>
      <c r="Q23" s="40"/>
      <c r="R23" s="36"/>
      <c r="S23" s="2"/>
      <c r="T23" s="37"/>
      <c r="U23" s="20"/>
      <c r="V23" s="20"/>
      <c r="W23" s="20"/>
      <c r="X23" s="20"/>
      <c r="Y23" s="20"/>
      <c r="Z23" s="20"/>
    </row>
    <row r="24" spans="1:26" x14ac:dyDescent="0.25">
      <c r="A24" s="5" t="s">
        <v>128</v>
      </c>
      <c r="B24" s="4">
        <v>110000000</v>
      </c>
      <c r="C24" s="4"/>
      <c r="D24" s="4"/>
      <c r="E24" s="116">
        <v>0</v>
      </c>
      <c r="F24" s="4">
        <v>0</v>
      </c>
      <c r="G24" s="120">
        <f>+'[8]Planeación 2025 P&amp;K (def Mod1)'!M20</f>
        <v>30000000</v>
      </c>
      <c r="H24" s="4">
        <v>0</v>
      </c>
      <c r="I24" s="51">
        <f>+'[8]Planeación 2025 P&amp;K (def Mod1)'!O20</f>
        <v>20000000</v>
      </c>
      <c r="J24" s="120">
        <f>+'[8]Planeación 2025 P&amp;K (def Mod1)'!P20</f>
        <v>20000000</v>
      </c>
      <c r="K24" s="46">
        <f>+'[8]Planeación 2025 P&amp;K (def Mod1)'!Q20</f>
        <v>0</v>
      </c>
      <c r="L24" s="4">
        <f>+'[8]Planeación 2025 P&amp;K (def Mod1)'!$R$20</f>
        <v>20000000</v>
      </c>
      <c r="M24" s="4">
        <v>0</v>
      </c>
      <c r="N24" s="4">
        <f>+'[8]Planeación 2025 P&amp;K (def Mod1)'!$T$20</f>
        <v>20000000</v>
      </c>
      <c r="O24" s="4">
        <f>SUM(C24:N24)-12000000</f>
        <v>98000000</v>
      </c>
      <c r="P24" s="34"/>
      <c r="Q24" s="40"/>
      <c r="R24" s="36"/>
      <c r="S24" s="2"/>
      <c r="T24" s="37"/>
      <c r="U24" s="20"/>
      <c r="V24" s="20"/>
      <c r="W24" s="20"/>
      <c r="X24" s="20"/>
      <c r="Y24" s="20"/>
      <c r="Z24" s="20"/>
    </row>
    <row r="25" spans="1:26" x14ac:dyDescent="0.25">
      <c r="A25" s="5" t="s">
        <v>191</v>
      </c>
      <c r="B25" s="4">
        <v>25500000</v>
      </c>
      <c r="C25" s="4"/>
      <c r="D25" s="4">
        <v>0</v>
      </c>
      <c r="E25" s="4"/>
      <c r="F25" s="4"/>
      <c r="G25" s="4"/>
      <c r="H25" s="4"/>
      <c r="I25" s="4">
        <v>0</v>
      </c>
      <c r="J25" s="4"/>
      <c r="K25" s="4"/>
      <c r="L25" s="4"/>
      <c r="M25" s="4"/>
      <c r="N25" s="4"/>
      <c r="O25" s="4">
        <f>SUM(C25:N25)-12000000</f>
        <v>-12000000</v>
      </c>
      <c r="P25" s="34"/>
      <c r="Q25" s="40"/>
      <c r="R25" s="36"/>
      <c r="S25" s="2"/>
      <c r="T25" s="37"/>
      <c r="U25" s="20"/>
      <c r="V25" s="20"/>
      <c r="W25" s="20"/>
      <c r="X25" s="20"/>
      <c r="Y25" s="20"/>
      <c r="Z25" s="20"/>
    </row>
    <row r="26" spans="1:26" x14ac:dyDescent="0.25">
      <c r="A26" s="5" t="s">
        <v>178</v>
      </c>
      <c r="B26" s="4">
        <v>54000000</v>
      </c>
      <c r="C26" s="4">
        <v>0</v>
      </c>
      <c r="D26" s="4">
        <f>+C26</f>
        <v>0</v>
      </c>
      <c r="E26" s="4">
        <f>14000000-14000000</f>
        <v>0</v>
      </c>
      <c r="F26" s="119">
        <f>+'[8]Planeación 2025 P&amp;K (def Mod1)'!L24</f>
        <v>6000000</v>
      </c>
      <c r="G26" s="120">
        <f>+'[8]Planeación 2025 P&amp;K (def Mod1)'!M24</f>
        <v>6000000</v>
      </c>
      <c r="H26" s="120">
        <f>+'[8]Planeación 2025 P&amp;K (def Mod1)'!N24</f>
        <v>6000000</v>
      </c>
      <c r="I26" s="51">
        <f>+'[8]Planeación 2025 P&amp;K (def Mod1)'!O24</f>
        <v>6000000</v>
      </c>
      <c r="J26" s="120">
        <f>+'[8]Planeación 2025 P&amp;K (def Mod1)'!P24</f>
        <v>6000000</v>
      </c>
      <c r="K26" s="46">
        <f>+'[8]Planeación 2025 P&amp;K (def Mod1)'!Q24</f>
        <v>6000000</v>
      </c>
      <c r="L26" s="4">
        <f>+'[8]Planeación 2025 P&amp;K (def Mod1)'!$R$24</f>
        <v>6000000</v>
      </c>
      <c r="M26" s="4">
        <f>+'[8]Planeación 2025 P&amp;K (def Mod1)'!$S$24</f>
        <v>6000000</v>
      </c>
      <c r="N26" s="4">
        <f>+'[8]Planeación 2025 P&amp;K (def Mod1)'!$S$24</f>
        <v>6000000</v>
      </c>
      <c r="O26" s="4">
        <f>SUM(C26:N26)-16000000</f>
        <v>38000000</v>
      </c>
      <c r="P26" s="34"/>
      <c r="Q26" s="40"/>
      <c r="R26" s="36"/>
      <c r="S26" s="2"/>
      <c r="T26" s="37"/>
      <c r="U26" s="20"/>
      <c r="V26" s="20"/>
      <c r="W26" s="20"/>
      <c r="X26" s="20"/>
      <c r="Y26" s="20"/>
      <c r="Z26" s="20"/>
    </row>
    <row r="27" spans="1:26" x14ac:dyDescent="0.25">
      <c r="A27" s="5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>
        <f t="shared" si="3"/>
        <v>0</v>
      </c>
      <c r="P27" s="34"/>
      <c r="Q27" s="40"/>
      <c r="R27" s="36"/>
      <c r="S27" s="2"/>
      <c r="T27" s="37"/>
      <c r="U27" s="20"/>
      <c r="V27" s="20"/>
      <c r="W27" s="20"/>
      <c r="X27" s="20"/>
      <c r="Y27" s="20"/>
      <c r="Z27" s="20"/>
    </row>
    <row r="28" spans="1:26" x14ac:dyDescent="0.25">
      <c r="A28" s="55" t="s">
        <v>8</v>
      </c>
      <c r="B28" s="10">
        <v>0</v>
      </c>
      <c r="C28" s="10">
        <f t="shared" ref="C28:N28" si="5">SUM(C29:C32)</f>
        <v>0</v>
      </c>
      <c r="D28" s="10">
        <f t="shared" si="5"/>
        <v>0</v>
      </c>
      <c r="E28" s="10">
        <f t="shared" si="5"/>
        <v>0</v>
      </c>
      <c r="F28" s="10">
        <f t="shared" si="5"/>
        <v>0</v>
      </c>
      <c r="G28" s="10">
        <f t="shared" si="5"/>
        <v>0</v>
      </c>
      <c r="H28" s="10">
        <f t="shared" si="5"/>
        <v>0</v>
      </c>
      <c r="I28" s="10">
        <f>SUM(I29:I32)</f>
        <v>0</v>
      </c>
      <c r="J28" s="10">
        <f t="shared" si="5"/>
        <v>0</v>
      </c>
      <c r="K28" s="10">
        <f>SUM(K29:K32)</f>
        <v>0</v>
      </c>
      <c r="L28" s="10">
        <f t="shared" si="5"/>
        <v>0</v>
      </c>
      <c r="M28" s="10">
        <f t="shared" si="5"/>
        <v>0</v>
      </c>
      <c r="N28" s="10">
        <f t="shared" si="5"/>
        <v>0</v>
      </c>
      <c r="O28" s="4">
        <f>SUM(C28:N28)+358641000</f>
        <v>358641000</v>
      </c>
      <c r="P28" s="34"/>
      <c r="Q28" s="40"/>
      <c r="R28" s="2"/>
      <c r="T28" s="37"/>
      <c r="U28" s="20"/>
      <c r="V28" s="20"/>
      <c r="W28" s="20"/>
      <c r="X28" s="20"/>
      <c r="Y28" s="20"/>
      <c r="Z28" s="20"/>
    </row>
    <row r="29" spans="1:26" x14ac:dyDescent="0.25">
      <c r="A29" s="5" t="s">
        <v>129</v>
      </c>
      <c r="B29" s="46">
        <v>0</v>
      </c>
      <c r="C29" s="4">
        <f>+B29/12</f>
        <v>0</v>
      </c>
      <c r="D29" s="4">
        <f>+C29</f>
        <v>0</v>
      </c>
      <c r="E29" s="4">
        <f t="shared" ref="E29:N29" si="6">+D29</f>
        <v>0</v>
      </c>
      <c r="F29" s="4">
        <v>0</v>
      </c>
      <c r="G29" s="4">
        <v>0</v>
      </c>
      <c r="H29" s="4">
        <v>0</v>
      </c>
      <c r="I29" s="4">
        <f t="shared" si="6"/>
        <v>0</v>
      </c>
      <c r="J29" s="4">
        <f t="shared" si="6"/>
        <v>0</v>
      </c>
      <c r="K29" s="4">
        <f t="shared" si="6"/>
        <v>0</v>
      </c>
      <c r="L29" s="4">
        <f t="shared" si="6"/>
        <v>0</v>
      </c>
      <c r="M29" s="4">
        <f t="shared" si="6"/>
        <v>0</v>
      </c>
      <c r="N29" s="4">
        <f t="shared" si="6"/>
        <v>0</v>
      </c>
      <c r="O29" s="4">
        <f>SUM(C29:N29)+11000000</f>
        <v>11000000</v>
      </c>
      <c r="P29" s="34"/>
      <c r="Q29" s="40"/>
      <c r="R29" s="2"/>
      <c r="T29" s="37"/>
      <c r="U29" s="20"/>
      <c r="V29" s="20"/>
      <c r="W29" s="20"/>
      <c r="X29" s="20"/>
      <c r="Y29" s="20"/>
      <c r="Z29" s="20"/>
    </row>
    <row r="30" spans="1:26" x14ac:dyDescent="0.25">
      <c r="A30" s="5" t="s">
        <v>130</v>
      </c>
      <c r="B30" s="46">
        <v>0</v>
      </c>
      <c r="C30" s="4">
        <f>+B30/12</f>
        <v>0</v>
      </c>
      <c r="D30" s="4">
        <f>+C30</f>
        <v>0</v>
      </c>
      <c r="E30" s="4">
        <f t="shared" ref="E30:N30" si="7">+D30</f>
        <v>0</v>
      </c>
      <c r="F30" s="4">
        <v>0</v>
      </c>
      <c r="G30" s="4">
        <v>0</v>
      </c>
      <c r="H30" s="4">
        <v>0</v>
      </c>
      <c r="I30" s="4">
        <f t="shared" si="7"/>
        <v>0</v>
      </c>
      <c r="J30" s="4">
        <f t="shared" si="7"/>
        <v>0</v>
      </c>
      <c r="K30" s="4">
        <f t="shared" si="7"/>
        <v>0</v>
      </c>
      <c r="L30" s="4">
        <f t="shared" si="7"/>
        <v>0</v>
      </c>
      <c r="M30" s="4">
        <f t="shared" si="7"/>
        <v>0</v>
      </c>
      <c r="N30" s="4">
        <f t="shared" si="7"/>
        <v>0</v>
      </c>
      <c r="O30" s="4">
        <f>SUM(C30:N30)-20520000</f>
        <v>-20520000</v>
      </c>
      <c r="P30" s="34"/>
      <c r="Q30" s="40"/>
      <c r="R30" s="2"/>
      <c r="T30" s="37"/>
      <c r="U30" s="20"/>
      <c r="V30" s="20"/>
      <c r="W30" s="20"/>
      <c r="X30" s="20"/>
      <c r="Y30" s="20"/>
      <c r="Z30" s="20"/>
    </row>
    <row r="31" spans="1:26" x14ac:dyDescent="0.25">
      <c r="A31" s="5" t="s">
        <v>132</v>
      </c>
      <c r="B31" s="85">
        <v>4800000</v>
      </c>
      <c r="C31" s="4"/>
      <c r="D31" s="4">
        <v>0</v>
      </c>
      <c r="E31" s="4">
        <v>0</v>
      </c>
      <c r="F31" s="4"/>
      <c r="G31" s="4">
        <v>0</v>
      </c>
      <c r="H31" s="4"/>
      <c r="I31" s="4"/>
      <c r="J31" s="4"/>
      <c r="K31" s="4"/>
      <c r="L31" s="4"/>
      <c r="M31" s="4"/>
      <c r="N31" s="4"/>
      <c r="O31" s="4">
        <f>SUM(C31:N31)-30000000</f>
        <v>-30000000</v>
      </c>
      <c r="P31" s="34"/>
      <c r="Q31" s="40"/>
      <c r="R31" s="2"/>
      <c r="T31" s="37"/>
      <c r="U31" s="20"/>
      <c r="V31" s="20"/>
      <c r="W31" s="20"/>
      <c r="X31" s="20"/>
      <c r="Y31" s="20"/>
      <c r="Z31" s="20"/>
    </row>
    <row r="32" spans="1:26" x14ac:dyDescent="0.25">
      <c r="A32" s="5" t="s">
        <v>125</v>
      </c>
      <c r="B32" s="4">
        <v>0</v>
      </c>
      <c r="C32" s="4"/>
      <c r="D32" s="4"/>
      <c r="E32" s="4"/>
      <c r="F32" s="4"/>
      <c r="G32" s="4">
        <v>0</v>
      </c>
      <c r="H32" s="4">
        <v>0</v>
      </c>
      <c r="I32" s="4"/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f>SUM(C32:N32)+398161000</f>
        <v>398161000</v>
      </c>
      <c r="P32" s="34"/>
      <c r="Q32" s="40"/>
      <c r="R32" s="2"/>
      <c r="T32" s="37"/>
      <c r="U32" s="20"/>
      <c r="V32" s="20"/>
      <c r="W32" s="20"/>
      <c r="X32" s="20"/>
      <c r="Y32" s="20"/>
      <c r="Z32" s="20"/>
    </row>
    <row r="33" spans="1:26" x14ac:dyDescent="0.25">
      <c r="A33" s="5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>
        <f t="shared" si="3"/>
        <v>0</v>
      </c>
      <c r="P33" s="34"/>
      <c r="Q33" s="40"/>
      <c r="R33" s="2"/>
      <c r="T33" s="37"/>
      <c r="U33" s="20"/>
      <c r="V33" s="20"/>
      <c r="W33" s="20"/>
      <c r="X33" s="20"/>
      <c r="Y33" s="20"/>
      <c r="Z33" s="20"/>
    </row>
    <row r="34" spans="1:26" x14ac:dyDescent="0.25">
      <c r="A34" s="5" t="s">
        <v>180</v>
      </c>
      <c r="B34" s="10">
        <v>0</v>
      </c>
      <c r="C34" s="10"/>
      <c r="D34" s="10"/>
      <c r="E34" s="10"/>
      <c r="F34" s="10"/>
      <c r="G34" s="10"/>
      <c r="H34" s="10">
        <f>+H35</f>
        <v>0</v>
      </c>
      <c r="I34" s="10">
        <f>+I35</f>
        <v>0</v>
      </c>
      <c r="J34" s="10"/>
      <c r="K34" s="10"/>
      <c r="L34" s="10"/>
      <c r="M34" s="10"/>
      <c r="N34" s="10"/>
      <c r="O34" s="4">
        <f>SUM(C34:N34)-11000000</f>
        <v>-11000000</v>
      </c>
      <c r="P34" s="34"/>
      <c r="Q34" s="40"/>
      <c r="R34" s="36"/>
      <c r="S34" s="2"/>
      <c r="T34" s="37"/>
      <c r="U34" s="20"/>
      <c r="V34" s="20"/>
      <c r="W34" s="20"/>
      <c r="X34" s="20"/>
      <c r="Y34" s="20"/>
      <c r="Z34" s="20"/>
    </row>
    <row r="35" spans="1:26" x14ac:dyDescent="0.25">
      <c r="A35" s="5" t="s">
        <v>179</v>
      </c>
      <c r="B35" s="4">
        <v>0</v>
      </c>
      <c r="C35" s="4"/>
      <c r="D35" s="4"/>
      <c r="E35" s="4"/>
      <c r="F35" s="4"/>
      <c r="G35" s="4"/>
      <c r="H35" s="51">
        <v>0</v>
      </c>
      <c r="I35" s="51">
        <v>0</v>
      </c>
      <c r="J35" s="4"/>
      <c r="K35" s="4"/>
      <c r="L35" s="4"/>
      <c r="M35" s="4"/>
      <c r="N35" s="4"/>
      <c r="O35" s="4">
        <f>SUM(C35:N35)-11000000</f>
        <v>-11000000</v>
      </c>
      <c r="P35" s="34"/>
      <c r="Q35" s="40"/>
      <c r="R35" s="36"/>
      <c r="S35" s="2"/>
      <c r="T35" s="37"/>
      <c r="U35" s="20"/>
      <c r="V35" s="20"/>
      <c r="W35" s="20"/>
      <c r="X35" s="20"/>
      <c r="Y35" s="20"/>
      <c r="Z35" s="20"/>
    </row>
    <row r="36" spans="1:26" x14ac:dyDescent="0.25">
      <c r="A36" s="5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>
        <f t="shared" si="3"/>
        <v>0</v>
      </c>
      <c r="P36" s="34"/>
      <c r="Q36" s="40"/>
      <c r="R36" s="36"/>
      <c r="S36" s="2"/>
      <c r="T36" s="37"/>
      <c r="U36" s="20"/>
      <c r="V36" s="20"/>
      <c r="W36" s="20"/>
      <c r="X36" s="20"/>
      <c r="Y36" s="20"/>
      <c r="Z36" s="20"/>
    </row>
    <row r="37" spans="1:26" x14ac:dyDescent="0.25">
      <c r="A37" s="5" t="s">
        <v>11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>
        <f t="shared" si="3"/>
        <v>0</v>
      </c>
      <c r="P37" s="34"/>
      <c r="Q37" s="40"/>
      <c r="R37" s="36"/>
      <c r="S37" s="2"/>
      <c r="T37" s="37"/>
      <c r="U37" s="20"/>
      <c r="V37" s="20"/>
      <c r="W37" s="20"/>
      <c r="X37" s="20"/>
      <c r="Y37" s="20"/>
      <c r="Z37" s="20"/>
    </row>
    <row r="38" spans="1:26" x14ac:dyDescent="0.25">
      <c r="A38" s="55" t="s">
        <v>12</v>
      </c>
      <c r="B38" s="10">
        <f>SUM(B39:B45)</f>
        <v>686332000</v>
      </c>
      <c r="C38" s="10">
        <f>SUM(C39:C43)</f>
        <v>6281000</v>
      </c>
      <c r="D38" s="10">
        <f>SUM(D39:D43)</f>
        <v>13281000</v>
      </c>
      <c r="E38" s="10">
        <f t="shared" ref="E38:J38" si="8">SUM(E39:E46)</f>
        <v>45481000</v>
      </c>
      <c r="F38" s="10">
        <f t="shared" si="8"/>
        <v>18981000</v>
      </c>
      <c r="G38" s="10">
        <f t="shared" si="8"/>
        <v>120481000</v>
      </c>
      <c r="H38" s="10">
        <f t="shared" si="8"/>
        <v>120481000</v>
      </c>
      <c r="I38" s="10">
        <f t="shared" si="8"/>
        <v>120481000</v>
      </c>
      <c r="J38" s="10">
        <f t="shared" si="8"/>
        <v>46481000</v>
      </c>
      <c r="K38" s="10">
        <f>SUM(K39:K46)</f>
        <v>56481000</v>
      </c>
      <c r="L38" s="10">
        <f>SUM(L39:L46)</f>
        <v>46481000</v>
      </c>
      <c r="M38" s="10">
        <f>SUM(M39:M46)</f>
        <v>40481000</v>
      </c>
      <c r="N38" s="10">
        <f>SUM(N39:N46)</f>
        <v>15481000</v>
      </c>
      <c r="O38" s="4">
        <f>SUM(C38:N38)-72500000</f>
        <v>578372000</v>
      </c>
      <c r="P38" s="34"/>
      <c r="Q38" s="40"/>
      <c r="R38" s="36"/>
      <c r="S38" s="2"/>
      <c r="T38" s="37"/>
      <c r="U38" s="20"/>
      <c r="V38" s="20"/>
      <c r="W38" s="20"/>
      <c r="X38" s="20"/>
      <c r="Y38" s="20"/>
      <c r="Z38" s="20"/>
    </row>
    <row r="39" spans="1:26" x14ac:dyDescent="0.25">
      <c r="A39" s="5" t="s">
        <v>205</v>
      </c>
      <c r="B39" s="46">
        <v>0</v>
      </c>
      <c r="C39" s="4"/>
      <c r="D39" s="4"/>
      <c r="E39" s="4"/>
      <c r="F39" s="4"/>
      <c r="G39" s="4"/>
      <c r="H39" s="4"/>
      <c r="I39" s="4"/>
      <c r="J39" s="4"/>
      <c r="K39" s="4"/>
      <c r="L39" s="4">
        <v>0</v>
      </c>
      <c r="M39" s="4"/>
      <c r="N39" s="4"/>
      <c r="O39" s="4">
        <f>SUM(C39:N39)+15000000</f>
        <v>15000000</v>
      </c>
      <c r="P39" s="34"/>
      <c r="Q39" s="40"/>
      <c r="R39" s="36"/>
      <c r="S39" s="2"/>
      <c r="T39" s="37"/>
      <c r="U39" s="20"/>
      <c r="V39" s="20"/>
      <c r="W39" s="20"/>
      <c r="X39" s="20"/>
      <c r="Y39" s="20"/>
      <c r="Z39" s="20"/>
    </row>
    <row r="40" spans="1:26" x14ac:dyDescent="0.25">
      <c r="A40" s="5" t="s">
        <v>131</v>
      </c>
      <c r="B40" s="4">
        <v>93960000</v>
      </c>
      <c r="C40" s="4"/>
      <c r="D40" s="4"/>
      <c r="E40" s="85">
        <v>30000000</v>
      </c>
      <c r="F40" s="4">
        <v>0</v>
      </c>
      <c r="G40" s="4"/>
      <c r="H40" s="4">
        <v>0</v>
      </c>
      <c r="I40" s="4"/>
      <c r="J40" s="4"/>
      <c r="K40" s="46">
        <f>+'[8]Planeación 2025 P&amp;K (def Mod1)'!$Q$22</f>
        <v>10000000</v>
      </c>
      <c r="L40" s="4">
        <v>0</v>
      </c>
      <c r="M40" s="4"/>
      <c r="N40" s="4">
        <f>+'[8]Planeación 2025 P&amp;K (def Mod1)'!$T$50</f>
        <v>0</v>
      </c>
      <c r="O40" s="4">
        <f>SUM(C40:N40)+20000000</f>
        <v>60000000</v>
      </c>
      <c r="P40" s="34"/>
      <c r="Q40" s="40"/>
      <c r="R40" s="36"/>
      <c r="S40" s="2"/>
      <c r="T40" s="37"/>
      <c r="U40" s="20"/>
      <c r="V40" s="20"/>
      <c r="W40" s="20"/>
      <c r="X40" s="20"/>
      <c r="Y40" s="20"/>
      <c r="Z40" s="20"/>
    </row>
    <row r="41" spans="1:26" x14ac:dyDescent="0.25">
      <c r="A41" s="5" t="s">
        <v>195</v>
      </c>
      <c r="B41" s="4">
        <v>200000000</v>
      </c>
      <c r="C41" s="4">
        <v>0</v>
      </c>
      <c r="D41" s="4">
        <f>+C41</f>
        <v>0</v>
      </c>
      <c r="E41" s="4"/>
      <c r="F41" s="4">
        <v>0</v>
      </c>
      <c r="G41" s="124">
        <f>+'[8]Planeación 2025 P&amp;K (def Mod1)'!$M$23</f>
        <v>25000000</v>
      </c>
      <c r="H41" s="124">
        <f>+'[8]Planeación 2025 P&amp;K (def Mod1)'!M23</f>
        <v>25000000</v>
      </c>
      <c r="I41" s="124">
        <f>+'[8]Planeación 2025 P&amp;K (def Mod1)'!$O$23</f>
        <v>25000000</v>
      </c>
      <c r="J41" s="4">
        <f>+'[8]Planeación 2025 P&amp;K (def Mod1)'!$P$23</f>
        <v>25000000</v>
      </c>
      <c r="K41" s="46">
        <f>+J41</f>
        <v>25000000</v>
      </c>
      <c r="L41" s="4">
        <f>+'[8]Planeación 2025 P&amp;K (def Mod1)'!$R$23</f>
        <v>25000000</v>
      </c>
      <c r="M41" s="152">
        <f>+'[8]Planeación 2025 P&amp;K (def Mod1)'!$S$23</f>
        <v>25000000</v>
      </c>
      <c r="N41" s="4">
        <v>0</v>
      </c>
      <c r="O41" s="4">
        <f>SUM(C41:N41)-100000000</f>
        <v>75000000</v>
      </c>
      <c r="P41" s="34"/>
      <c r="Q41" s="40"/>
      <c r="R41" s="36"/>
      <c r="S41" s="2"/>
      <c r="T41" s="37"/>
      <c r="U41" s="20"/>
      <c r="V41" s="20"/>
      <c r="W41" s="20"/>
      <c r="X41" s="20"/>
      <c r="Y41" s="20"/>
      <c r="Z41" s="20"/>
    </row>
    <row r="42" spans="1:26" x14ac:dyDescent="0.25">
      <c r="A42" s="5" t="s">
        <v>133</v>
      </c>
      <c r="B42" s="4">
        <v>0</v>
      </c>
      <c r="C42" s="4">
        <f>+B42/12</f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f t="shared" ref="I42:N42" si="9">+H42</f>
        <v>0</v>
      </c>
      <c r="J42" s="4">
        <f>+'[8]Planeación 2025 P&amp;K (def Mod1)'!$P$25</f>
        <v>6000000</v>
      </c>
      <c r="K42" s="46">
        <f t="shared" si="9"/>
        <v>6000000</v>
      </c>
      <c r="L42" s="4">
        <f>+'[8]Planeación 2025 P&amp;K (def Mod1)'!$R$25</f>
        <v>6000000</v>
      </c>
      <c r="M42" s="4">
        <v>0</v>
      </c>
      <c r="N42" s="4">
        <f t="shared" si="9"/>
        <v>0</v>
      </c>
      <c r="O42" s="4">
        <f>SUM(C42:N42)-7500000</f>
        <v>10500000</v>
      </c>
      <c r="P42" s="34"/>
      <c r="Q42" s="40"/>
      <c r="R42" s="36"/>
      <c r="S42" s="2"/>
      <c r="T42" s="37"/>
      <c r="U42" s="20"/>
      <c r="V42" s="20"/>
      <c r="W42" s="20"/>
      <c r="X42" s="20"/>
      <c r="Y42" s="20"/>
      <c r="Z42" s="20"/>
    </row>
    <row r="43" spans="1:26" x14ac:dyDescent="0.25">
      <c r="A43" s="5" t="s">
        <v>176</v>
      </c>
      <c r="B43" s="4">
        <v>152372000</v>
      </c>
      <c r="C43" s="4">
        <v>6281000</v>
      </c>
      <c r="D43" s="4">
        <f>+'[9]Hoja de W esta'!$K$148+'[9]Hoja de W esta'!$K$149+'[9]Hoja de W esta'!$K$150</f>
        <v>13281000</v>
      </c>
      <c r="E43" s="85">
        <v>13281000</v>
      </c>
      <c r="F43" s="119">
        <f>+'[8]Planeación 2025 P&amp;K (def Mod1)'!$L$150+'[8]Planeación 2025 P&amp;K (def Mod1)'!$L$151+'[8]Planeación 2025 P&amp;K (def Mod1)'!$L$152</f>
        <v>13281000</v>
      </c>
      <c r="G43" s="120">
        <f t="shared" ref="G43:N43" si="10">+F43</f>
        <v>13281000</v>
      </c>
      <c r="H43" s="4">
        <f>+'[8]Planeación 2025 P&amp;K (def Mod1)'!$N$150+'[8]Planeación 2025 P&amp;K (def Mod1)'!$N$151+'[8]Planeación 2025 P&amp;K (def Mod1)'!$N$152</f>
        <v>13281000</v>
      </c>
      <c r="I43" s="4">
        <f>+'[8]Planeación 2025 P&amp;K (def Mod1)'!$N$150+'[8]Planeación 2025 P&amp;K (def Mod1)'!$N$151+'[8]Planeación 2025 P&amp;K (def Mod1)'!$N$152</f>
        <v>13281000</v>
      </c>
      <c r="J43" s="4">
        <f>+'[8]Planeación 2025 P&amp;K (def Mod1)'!$N$150+'[8]Planeación 2025 P&amp;K (def Mod1)'!$N$151+'[8]Planeación 2025 P&amp;K (def Mod1)'!$N$152</f>
        <v>13281000</v>
      </c>
      <c r="K43" s="46">
        <f>+'[8]Planeación 2025 P&amp;K (def Mod1)'!$N$150+'[8]Planeación 2025 P&amp;K (def Mod1)'!$N$151+'[8]Planeación 2025 P&amp;K (def Mod1)'!$N$152</f>
        <v>13281000</v>
      </c>
      <c r="L43" s="4">
        <f>+'[8]Planeación 2025 P&amp;K (def Mod1)'!$R$152+'[8]Planeación 2025 P&amp;K (def Mod1)'!$R$151+'[8]Planeación 2025 P&amp;K (def Mod1)'!$R$150</f>
        <v>13281000</v>
      </c>
      <c r="M43" s="4">
        <f>+'[8]Planeación 2025 P&amp;K (def Mod1)'!$S$150+'[8]Planeación 2025 P&amp;K (def Mod1)'!$S$151+'[8]Planeación 2025 P&amp;K (def Mod1)'!$S$152</f>
        <v>13281000</v>
      </c>
      <c r="N43" s="4">
        <f t="shared" si="10"/>
        <v>13281000</v>
      </c>
      <c r="O43" s="4">
        <f>SUM(C43:N43)</f>
        <v>152372000</v>
      </c>
      <c r="P43" s="34"/>
      <c r="Q43" s="40"/>
      <c r="R43" s="36"/>
      <c r="S43" s="2"/>
      <c r="T43" s="37"/>
      <c r="U43" s="20"/>
      <c r="V43" s="20"/>
      <c r="W43" s="20"/>
      <c r="X43" s="20"/>
      <c r="Y43" s="20"/>
      <c r="Z43" s="20"/>
    </row>
    <row r="44" spans="1:26" x14ac:dyDescent="0.25">
      <c r="A44" s="5" t="s">
        <v>207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>
        <f>SUM(C44:N44)</f>
        <v>0</v>
      </c>
      <c r="P44" s="34"/>
      <c r="Q44" s="40"/>
      <c r="R44" s="36"/>
      <c r="S44" s="2"/>
      <c r="T44" s="37"/>
      <c r="U44" s="20"/>
      <c r="V44" s="20"/>
      <c r="W44" s="20"/>
      <c r="X44" s="20"/>
      <c r="Y44" s="20"/>
      <c r="Z44" s="20"/>
    </row>
    <row r="45" spans="1:26" x14ac:dyDescent="0.25">
      <c r="A45" s="5" t="s">
        <v>192</v>
      </c>
      <c r="B45" s="4">
        <v>240000000</v>
      </c>
      <c r="C45" s="4"/>
      <c r="D45" s="4"/>
      <c r="E45" s="4"/>
      <c r="F45" s="4"/>
      <c r="G45" s="120">
        <f>+'[8]Planeación 2025 P&amp;K (def Mod1)'!$M$158</f>
        <v>80000000</v>
      </c>
      <c r="H45" s="4">
        <f>+'[8]Planeación 2025 P&amp;K (def Mod1)'!N158</f>
        <v>80000000</v>
      </c>
      <c r="I45" s="51">
        <f>+'[8]Planeación 2025 P&amp;K (def Mod1)'!O158</f>
        <v>80000000</v>
      </c>
      <c r="J45" s="4"/>
      <c r="K45" s="4"/>
      <c r="L45" s="4"/>
      <c r="M45" s="4"/>
      <c r="N45" s="4"/>
      <c r="O45" s="4"/>
      <c r="P45" s="34"/>
      <c r="Q45" s="40"/>
      <c r="R45" s="36"/>
      <c r="S45" s="2"/>
      <c r="T45" s="37"/>
      <c r="U45" s="20"/>
      <c r="V45" s="20"/>
      <c r="W45" s="20"/>
      <c r="X45" s="20"/>
      <c r="Y45" s="20"/>
      <c r="Z45" s="20"/>
    </row>
    <row r="46" spans="1:26" x14ac:dyDescent="0.25">
      <c r="A46" s="5" t="s">
        <v>200</v>
      </c>
      <c r="B46" s="4"/>
      <c r="C46" s="4"/>
      <c r="D46" s="4"/>
      <c r="E46" s="116">
        <v>2200000</v>
      </c>
      <c r="F46" s="4">
        <f>+'[8]Planeación 2025 P&amp;K (def Mod1)'!L21</f>
        <v>5700000</v>
      </c>
      <c r="G46" s="120">
        <f>+'[8]Planeación 2025 P&amp;K (def Mod1)'!M21</f>
        <v>2200000</v>
      </c>
      <c r="H46" s="120">
        <f>+'[8]Planeación 2025 P&amp;K (def Mod1)'!N21</f>
        <v>2200000</v>
      </c>
      <c r="I46" s="51">
        <f>+'[8]Planeación 2025 P&amp;K (def Mod1)'!O21</f>
        <v>2200000</v>
      </c>
      <c r="J46" s="120">
        <f>+'[8]Planeación 2025 P&amp;K (def Mod1)'!P21</f>
        <v>2200000</v>
      </c>
      <c r="K46" s="46">
        <f>+'[8]Planeación 2025 P&amp;K (def Mod1)'!Q21</f>
        <v>2200000</v>
      </c>
      <c r="L46" s="4">
        <f>+'[8]Planeación 2025 P&amp;K (def Mod1)'!$R$21</f>
        <v>2200000</v>
      </c>
      <c r="M46" s="4">
        <f>+'[8]Planeación 2025 P&amp;K (def Mod1)'!$S$21</f>
        <v>2200000</v>
      </c>
      <c r="N46" s="4">
        <f>+'[8]Planeación 2025 P&amp;K (def Mod1)'!$T$21</f>
        <v>2200000</v>
      </c>
      <c r="O46" s="4"/>
      <c r="P46" s="34"/>
      <c r="Q46" s="40"/>
      <c r="R46" s="36"/>
      <c r="S46" s="2"/>
      <c r="T46" s="37"/>
      <c r="U46" s="20"/>
      <c r="V46" s="20"/>
      <c r="W46" s="20"/>
      <c r="X46" s="20"/>
      <c r="Y46" s="20"/>
      <c r="Z46" s="20"/>
    </row>
    <row r="47" spans="1:26" x14ac:dyDescent="0.25">
      <c r="A47" s="5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34"/>
      <c r="Q47" s="40"/>
      <c r="R47" s="36"/>
      <c r="S47" s="2"/>
      <c r="T47" s="37"/>
      <c r="U47" s="20"/>
      <c r="V47" s="20"/>
      <c r="W47" s="20"/>
      <c r="X47" s="20"/>
      <c r="Y47" s="20"/>
      <c r="Z47" s="20"/>
    </row>
    <row r="48" spans="1:26" x14ac:dyDescent="0.25">
      <c r="A48" s="12" t="s">
        <v>13</v>
      </c>
      <c r="B48" s="8">
        <f>+B38+B28+B18+B17+B16</f>
        <v>2097737164.397151</v>
      </c>
      <c r="C48" s="8">
        <f t="shared" ref="C48:N48" si="11">+C38+C28+C18+C17+C16</f>
        <v>92398097.033095926</v>
      </c>
      <c r="D48" s="8">
        <f t="shared" si="11"/>
        <v>99398097.033095926</v>
      </c>
      <c r="E48" s="8">
        <f>+E38+E28+E18+E17+E16</f>
        <v>131598097.03309593</v>
      </c>
      <c r="F48" s="8">
        <f t="shared" si="11"/>
        <v>144098097.03309593</v>
      </c>
      <c r="G48" s="8">
        <f t="shared" si="11"/>
        <v>248598097.03309593</v>
      </c>
      <c r="H48" s="8">
        <f>+H38+H28+H18+H17+H16+H35</f>
        <v>233598097.03309593</v>
      </c>
      <c r="I48" s="8">
        <f>+I38+I28+I18+I17+I16+I34</f>
        <v>241098097.03309593</v>
      </c>
      <c r="J48" s="8">
        <f t="shared" si="11"/>
        <v>178598097.03309593</v>
      </c>
      <c r="K48" s="8">
        <f>+K38+K28+K18+K17+K16</f>
        <v>148598097.03309593</v>
      </c>
      <c r="L48" s="8">
        <f>+L38+L28+L18+L17+L16</f>
        <v>171098097.03309593</v>
      </c>
      <c r="M48" s="8">
        <f t="shared" si="11"/>
        <v>141098097.03309593</v>
      </c>
      <c r="N48" s="8">
        <f t="shared" si="11"/>
        <v>147598097.03309593</v>
      </c>
      <c r="O48" s="8">
        <f>+O38+O28+O18+O17+O16</f>
        <v>2183918164.3971515</v>
      </c>
      <c r="P48" s="34"/>
      <c r="Q48" s="40"/>
      <c r="R48" s="35"/>
      <c r="S48" s="2"/>
      <c r="U48" s="20"/>
      <c r="V48" s="20"/>
      <c r="W48" s="20"/>
      <c r="X48" s="20"/>
    </row>
    <row r="49" spans="1:24" x14ac:dyDescent="0.25">
      <c r="A49" s="5" t="s">
        <v>35</v>
      </c>
      <c r="B49" s="4">
        <v>49559139.552205555</v>
      </c>
      <c r="C49" s="27">
        <v>4129928.2960171285</v>
      </c>
      <c r="D49" s="4">
        <f>+C49</f>
        <v>4129928.2960171285</v>
      </c>
      <c r="E49" s="4">
        <v>4279928.296017129</v>
      </c>
      <c r="F49" s="4">
        <v>4129928.2960171285</v>
      </c>
      <c r="G49" s="120">
        <f t="shared" ref="G49:N49" si="12">+F49</f>
        <v>4129928.2960171285</v>
      </c>
      <c r="H49" s="120">
        <f t="shared" si="12"/>
        <v>4129928.2960171285</v>
      </c>
      <c r="I49" s="4">
        <f t="shared" si="12"/>
        <v>4129928.2960171285</v>
      </c>
      <c r="J49" s="120">
        <f t="shared" si="12"/>
        <v>4129928.2960171285</v>
      </c>
      <c r="K49" s="4">
        <f t="shared" si="12"/>
        <v>4129928.2960171285</v>
      </c>
      <c r="L49" s="85">
        <f t="shared" si="12"/>
        <v>4129928.2960171285</v>
      </c>
      <c r="M49" s="4">
        <f t="shared" si="12"/>
        <v>4129928.2960171285</v>
      </c>
      <c r="N49" s="4">
        <f t="shared" si="12"/>
        <v>4129928.2960171285</v>
      </c>
      <c r="O49" s="4">
        <f>SUM(C49:N49)</f>
        <v>49709139.552205533</v>
      </c>
      <c r="P49" s="34"/>
      <c r="Q49" s="40"/>
      <c r="R49" s="38"/>
      <c r="S49" s="2"/>
      <c r="U49" s="20"/>
      <c r="V49" s="20"/>
      <c r="W49" s="20"/>
      <c r="X49" s="20"/>
    </row>
    <row r="50" spans="1:24" x14ac:dyDescent="0.25">
      <c r="A50" s="5" t="s">
        <v>14</v>
      </c>
      <c r="B50" s="4">
        <v>1800000</v>
      </c>
      <c r="C50" s="4">
        <v>150000</v>
      </c>
      <c r="D50" s="4">
        <f>+'[9]Hoja de W esta'!$K$154</f>
        <v>150000</v>
      </c>
      <c r="E50" s="4">
        <v>0</v>
      </c>
      <c r="F50" s="4">
        <f>+'[8]Planeación 2025 P&amp;K (def Mod1)'!L156</f>
        <v>150000</v>
      </c>
      <c r="G50" s="120">
        <f>+'[8]Planeación 2025 P&amp;K (def Mod1)'!M156</f>
        <v>150000</v>
      </c>
      <c r="H50" s="120">
        <f>+'[8]Planeación 2025 P&amp;K (def Mod1)'!N156</f>
        <v>150000</v>
      </c>
      <c r="I50" s="4">
        <v>0</v>
      </c>
      <c r="J50" s="120">
        <f>+'[8]Planeación 2025 P&amp;K (def Mod1)'!P156</f>
        <v>150000</v>
      </c>
      <c r="K50" s="120">
        <f>+'[8]Planeación 2025 P&amp;K (def Mod1)'!Q156</f>
        <v>150000</v>
      </c>
      <c r="L50" s="4">
        <f>+'[8]Planeación 2025 P&amp;K (def Mod1)'!$R$156</f>
        <v>150000</v>
      </c>
      <c r="M50" s="4">
        <f>+'[8]Planeación 2025 P&amp;K (def Mod1)'!$T$156</f>
        <v>150000</v>
      </c>
      <c r="N50" s="4">
        <f>+'[8]Planeación 2025 P&amp;K (def Mod1)'!$T$156</f>
        <v>150000</v>
      </c>
      <c r="O50" s="4">
        <f>SUM(C50:N50)-18000000</f>
        <v>-16500000</v>
      </c>
      <c r="P50" s="34"/>
      <c r="Q50" s="40"/>
      <c r="R50" s="38"/>
      <c r="S50" s="2"/>
      <c r="U50" s="20"/>
      <c r="V50" s="20"/>
      <c r="W50" s="20"/>
      <c r="X50" s="20"/>
    </row>
    <row r="51" spans="1:24" x14ac:dyDescent="0.25">
      <c r="A51" s="12" t="s">
        <v>15</v>
      </c>
      <c r="B51" s="8">
        <f>SUM(B49:B50)</f>
        <v>51359139.552205555</v>
      </c>
      <c r="C51" s="8">
        <f>SUM(C49:C50)</f>
        <v>4279928.296017129</v>
      </c>
      <c r="D51" s="8">
        <f>SUM(D49:D50)</f>
        <v>4279928.296017129</v>
      </c>
      <c r="E51" s="8">
        <f t="shared" ref="E51:O51" si="13">SUM(E49:E50)</f>
        <v>4279928.296017129</v>
      </c>
      <c r="F51" s="8">
        <f t="shared" si="13"/>
        <v>4279928.296017129</v>
      </c>
      <c r="G51" s="8">
        <f t="shared" si="13"/>
        <v>4279928.296017129</v>
      </c>
      <c r="H51" s="8">
        <f t="shared" si="13"/>
        <v>4279928.296017129</v>
      </c>
      <c r="I51" s="8">
        <f t="shared" si="13"/>
        <v>4129928.2960171285</v>
      </c>
      <c r="J51" s="8">
        <f t="shared" si="13"/>
        <v>4279928.296017129</v>
      </c>
      <c r="K51" s="8">
        <f t="shared" si="13"/>
        <v>4279928.296017129</v>
      </c>
      <c r="L51" s="8">
        <f t="shared" si="13"/>
        <v>4279928.296017129</v>
      </c>
      <c r="M51" s="8">
        <f t="shared" si="13"/>
        <v>4279928.296017129</v>
      </c>
      <c r="N51" s="8">
        <f t="shared" si="13"/>
        <v>4279928.296017129</v>
      </c>
      <c r="O51" s="8">
        <f t="shared" si="13"/>
        <v>33209139.552205533</v>
      </c>
      <c r="P51" s="34"/>
      <c r="Q51" s="40"/>
      <c r="R51" s="36"/>
      <c r="S51" s="2"/>
      <c r="U51" s="20"/>
      <c r="V51" s="20"/>
      <c r="W51" s="20"/>
      <c r="X51" s="20"/>
    </row>
    <row r="52" spans="1:24" x14ac:dyDescent="0.25">
      <c r="A52" s="12" t="s">
        <v>1</v>
      </c>
      <c r="B52" s="8">
        <f>+B51+B48</f>
        <v>2149096303.9493566</v>
      </c>
      <c r="C52" s="8">
        <f>+C51+C48</f>
        <v>96678025.329113051</v>
      </c>
      <c r="D52" s="8">
        <f>+D51+D48</f>
        <v>103678025.32911305</v>
      </c>
      <c r="E52" s="8">
        <f t="shared" ref="E52:O52" si="14">+E51+E48</f>
        <v>135878025.32911307</v>
      </c>
      <c r="F52" s="8">
        <f t="shared" si="14"/>
        <v>148378025.32911307</v>
      </c>
      <c r="G52" s="8">
        <f t="shared" si="14"/>
        <v>252878025.32911307</v>
      </c>
      <c r="H52" s="8">
        <f t="shared" si="14"/>
        <v>237878025.32911307</v>
      </c>
      <c r="I52" s="8">
        <f t="shared" si="14"/>
        <v>245228025.32911307</v>
      </c>
      <c r="J52" s="8">
        <f t="shared" si="14"/>
        <v>182878025.32911307</v>
      </c>
      <c r="K52" s="8">
        <f t="shared" si="14"/>
        <v>152878025.32911307</v>
      </c>
      <c r="L52" s="8">
        <f t="shared" si="14"/>
        <v>175378025.32911307</v>
      </c>
      <c r="M52" s="8">
        <f t="shared" si="14"/>
        <v>145378025.32911307</v>
      </c>
      <c r="N52" s="8">
        <f t="shared" si="14"/>
        <v>151878025.32911307</v>
      </c>
      <c r="O52" s="8">
        <f t="shared" si="14"/>
        <v>2217127303.949357</v>
      </c>
      <c r="P52" s="34"/>
      <c r="Q52" s="40"/>
      <c r="R52" s="35"/>
      <c r="S52" s="2"/>
      <c r="T52" s="2"/>
      <c r="U52" s="20"/>
      <c r="V52" s="20"/>
      <c r="W52" s="20"/>
      <c r="X52" s="20"/>
    </row>
    <row r="53" spans="1:24" x14ac:dyDescent="0.25">
      <c r="A53" s="22" t="s">
        <v>58</v>
      </c>
      <c r="B53" s="4">
        <v>1563457200.3255749</v>
      </c>
      <c r="C53" s="4">
        <v>130288100.03</v>
      </c>
      <c r="D53" s="4">
        <v>130288100.03</v>
      </c>
      <c r="E53" s="85">
        <v>130288100.03</v>
      </c>
      <c r="F53" s="4">
        <f t="shared" ref="F53:N53" si="15">+E53</f>
        <v>130288100.03</v>
      </c>
      <c r="G53" s="120">
        <f>+F53</f>
        <v>130288100.03</v>
      </c>
      <c r="H53" s="133">
        <f t="shared" si="15"/>
        <v>130288100.03</v>
      </c>
      <c r="I53" s="51">
        <f t="shared" si="15"/>
        <v>130288100.03</v>
      </c>
      <c r="J53" s="120">
        <f t="shared" si="15"/>
        <v>130288100.03</v>
      </c>
      <c r="K53" s="46">
        <f t="shared" si="15"/>
        <v>130288100.03</v>
      </c>
      <c r="L53" s="85">
        <f t="shared" si="15"/>
        <v>130288100.03</v>
      </c>
      <c r="M53" s="4">
        <f t="shared" si="15"/>
        <v>130288100.03</v>
      </c>
      <c r="N53" s="161">
        <f t="shared" si="15"/>
        <v>130288100.03</v>
      </c>
      <c r="O53" s="4">
        <f t="shared" ref="O53:O144" si="16">SUM(C53:N53)</f>
        <v>1563457200.3599999</v>
      </c>
      <c r="P53" s="34"/>
      <c r="Q53" s="40"/>
      <c r="R53" s="38"/>
      <c r="S53" s="2"/>
      <c r="T53" s="37"/>
      <c r="U53" s="20"/>
      <c r="V53" s="20"/>
      <c r="W53" s="20"/>
      <c r="X53" s="20"/>
    </row>
    <row r="54" spans="1:24" ht="45" x14ac:dyDescent="0.25">
      <c r="A54" s="21" t="s">
        <v>65</v>
      </c>
      <c r="B54" s="4">
        <v>0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>
        <f t="shared" si="16"/>
        <v>0</v>
      </c>
      <c r="P54" s="34"/>
      <c r="Q54" s="40"/>
      <c r="R54" s="38"/>
      <c r="S54" s="2"/>
      <c r="T54" s="37"/>
      <c r="U54" s="20"/>
      <c r="V54" s="20"/>
    </row>
    <row r="55" spans="1:24" x14ac:dyDescent="0.25">
      <c r="A55" s="55" t="s">
        <v>16</v>
      </c>
      <c r="B55" s="10">
        <f>+B56</f>
        <v>14000000</v>
      </c>
      <c r="C55" s="10">
        <f t="shared" ref="C55:H55" si="17">+C56</f>
        <v>0</v>
      </c>
      <c r="D55" s="10">
        <f t="shared" si="17"/>
        <v>0</v>
      </c>
      <c r="E55" s="10">
        <f t="shared" si="17"/>
        <v>0</v>
      </c>
      <c r="F55" s="10">
        <f t="shared" si="17"/>
        <v>0</v>
      </c>
      <c r="G55" s="10">
        <f>+G56</f>
        <v>8000000</v>
      </c>
      <c r="H55" s="10">
        <f t="shared" si="17"/>
        <v>0</v>
      </c>
      <c r="I55" s="10">
        <f t="shared" ref="I55:O55" si="18">+I56</f>
        <v>0</v>
      </c>
      <c r="J55" s="10">
        <f t="shared" si="18"/>
        <v>0</v>
      </c>
      <c r="K55" s="10">
        <f t="shared" si="18"/>
        <v>0</v>
      </c>
      <c r="L55" s="10">
        <f t="shared" si="18"/>
        <v>6000000</v>
      </c>
      <c r="M55" s="10">
        <f t="shared" si="18"/>
        <v>0</v>
      </c>
      <c r="N55" s="10">
        <f t="shared" si="18"/>
        <v>0</v>
      </c>
      <c r="O55" s="10">
        <f t="shared" si="18"/>
        <v>-4041424</v>
      </c>
      <c r="P55" s="34"/>
      <c r="Q55" s="40"/>
      <c r="R55" s="38"/>
      <c r="S55" s="2"/>
      <c r="T55" s="2"/>
    </row>
    <row r="56" spans="1:24" ht="90" x14ac:dyDescent="0.25">
      <c r="A56" s="21" t="s">
        <v>147</v>
      </c>
      <c r="B56" s="85">
        <v>14000000</v>
      </c>
      <c r="C56" s="4">
        <v>0</v>
      </c>
      <c r="D56" s="4">
        <v>0</v>
      </c>
      <c r="E56" s="4">
        <v>0</v>
      </c>
      <c r="F56" s="4">
        <v>0</v>
      </c>
      <c r="G56" s="4">
        <f>+'[8]Planeación 2025 P&amp;K (def Mod1)'!$M$34</f>
        <v>8000000</v>
      </c>
      <c r="H56" s="4">
        <v>0</v>
      </c>
      <c r="I56" s="4">
        <v>0</v>
      </c>
      <c r="J56" s="4">
        <v>0</v>
      </c>
      <c r="K56" s="4">
        <v>0</v>
      </c>
      <c r="L56" s="85">
        <f>+'[8]Planeación 2025 P&amp;K (def Mod1)'!$R$34</f>
        <v>6000000</v>
      </c>
      <c r="M56" s="4">
        <v>0</v>
      </c>
      <c r="N56" s="51">
        <v>0</v>
      </c>
      <c r="O56" s="4">
        <f>SUM(C56:N56)-18041424</f>
        <v>-4041424</v>
      </c>
      <c r="P56" s="34"/>
      <c r="Q56" s="40"/>
      <c r="R56" s="38"/>
      <c r="S56" s="2"/>
      <c r="T56" s="2"/>
    </row>
    <row r="57" spans="1:24" x14ac:dyDescent="0.25">
      <c r="A57" s="5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34"/>
      <c r="Q57" s="40"/>
      <c r="R57" s="38"/>
      <c r="S57" s="2"/>
      <c r="T57" s="2"/>
    </row>
    <row r="58" spans="1:24" x14ac:dyDescent="0.25">
      <c r="A58" s="55" t="s">
        <v>17</v>
      </c>
      <c r="B58" s="10">
        <f>SUM(B59:B60)</f>
        <v>548500000</v>
      </c>
      <c r="C58" s="10">
        <f t="shared" ref="C58:M58" si="19">SUM(C59:C60)</f>
        <v>0</v>
      </c>
      <c r="D58" s="10">
        <f t="shared" si="19"/>
        <v>26500000</v>
      </c>
      <c r="E58" s="10">
        <f t="shared" si="19"/>
        <v>52200000</v>
      </c>
      <c r="F58" s="10">
        <f t="shared" si="19"/>
        <v>52200000</v>
      </c>
      <c r="G58" s="10">
        <f t="shared" si="19"/>
        <v>52200000</v>
      </c>
      <c r="H58" s="10">
        <f t="shared" si="19"/>
        <v>52200000</v>
      </c>
      <c r="I58" s="10">
        <f t="shared" si="19"/>
        <v>52200000</v>
      </c>
      <c r="J58" s="10">
        <f t="shared" si="19"/>
        <v>52200000</v>
      </c>
      <c r="K58" s="10">
        <f t="shared" si="19"/>
        <v>53400000</v>
      </c>
      <c r="L58" s="10">
        <f t="shared" si="19"/>
        <v>52200000</v>
      </c>
      <c r="M58" s="10">
        <f t="shared" si="19"/>
        <v>52200000</v>
      </c>
      <c r="N58" s="10">
        <f>SUM(N59:N60)</f>
        <v>52200000</v>
      </c>
      <c r="O58" s="10">
        <f>SUM(O59:O60)-33162000</f>
        <v>500495224</v>
      </c>
      <c r="P58" s="34"/>
      <c r="Q58" s="40"/>
      <c r="R58" s="38"/>
      <c r="S58" s="2"/>
      <c r="T58" s="2"/>
    </row>
    <row r="59" spans="1:24" ht="60" x14ac:dyDescent="0.25">
      <c r="A59" s="54" t="s">
        <v>139</v>
      </c>
      <c r="B59" s="85">
        <v>420000000</v>
      </c>
      <c r="C59" s="4">
        <v>0</v>
      </c>
      <c r="D59" s="4">
        <f>+'[9]Hoja de W esta'!$K$24</f>
        <v>20000000</v>
      </c>
      <c r="E59" s="85">
        <v>40000000</v>
      </c>
      <c r="F59" s="4">
        <f>+'[8]Planeación 2025 P&amp;K (def Mod1)'!L26</f>
        <v>40000000</v>
      </c>
      <c r="G59" s="4">
        <f>+'[8]Planeación 2025 P&amp;K (def Mod1)'!M26</f>
        <v>40000000</v>
      </c>
      <c r="H59" s="133">
        <f>+'[8]Planeación 2025 P&amp;K (def Mod1)'!N26</f>
        <v>40000000</v>
      </c>
      <c r="I59" s="133">
        <f>+'[8]Planeación 2025 P&amp;K (def Mod1)'!O26</f>
        <v>40000000</v>
      </c>
      <c r="J59" s="123">
        <f>+'[8]Planeación 2025 P&amp;K (def Mod1)'!P26</f>
        <v>40000000</v>
      </c>
      <c r="K59" s="146">
        <f>+'[8]Planeación 2025 P&amp;K (def Mod1)'!Q26</f>
        <v>40000000</v>
      </c>
      <c r="L59" s="85">
        <f>+'[8]Planeación 2025 P&amp;K (def Mod1)'!$R$26</f>
        <v>40000000</v>
      </c>
      <c r="M59" s="4">
        <f>+'[8]Planeación 2025 P&amp;K (def Mod1)'!$S$26+'[8]Planeación 2025 P&amp;K (def Mod1)'!$T$28</f>
        <v>52200000</v>
      </c>
      <c r="N59" s="161">
        <f>+'[8]Planeación 2025 P&amp;K (def Mod1)'!$S$26+'[8]Planeación 2025 P&amp;K (def Mod1)'!$T$28</f>
        <v>52200000</v>
      </c>
      <c r="O59" s="4">
        <f t="shared" si="16"/>
        <v>444400000</v>
      </c>
      <c r="P59" s="34"/>
      <c r="Q59" s="40"/>
      <c r="R59" s="38"/>
      <c r="S59" s="2"/>
      <c r="T59" s="2"/>
    </row>
    <row r="60" spans="1:24" ht="48" x14ac:dyDescent="0.25">
      <c r="A60" s="54" t="s">
        <v>143</v>
      </c>
      <c r="B60" s="85">
        <v>128500000</v>
      </c>
      <c r="C60" s="80">
        <v>0</v>
      </c>
      <c r="D60" s="80">
        <f>+'[9]Hoja de W esta'!$K$26</f>
        <v>6500000</v>
      </c>
      <c r="E60" s="118">
        <v>12200000</v>
      </c>
      <c r="F60" s="80">
        <f>+'[8]Planeación 2025 P&amp;K (def Mod1)'!L28</f>
        <v>12200000</v>
      </c>
      <c r="G60" s="80">
        <f>+'[8]Planeación 2025 P&amp;K (def Mod1)'!M28</f>
        <v>12200000</v>
      </c>
      <c r="H60" s="134">
        <f>+'[8]Planeación 2025 P&amp;K (def Mod1)'!N28</f>
        <v>12200000</v>
      </c>
      <c r="I60" s="61">
        <f>+'[8]Planeación 2025 P&amp;K (def Mod1)'!$O$28</f>
        <v>12200000</v>
      </c>
      <c r="J60" s="123">
        <f>+'[8]Planeación 2025 P&amp;K (def Mod1)'!$O$28</f>
        <v>12200000</v>
      </c>
      <c r="K60" s="146">
        <f>+'[8]Planeación 2025 P&amp;K (def Mod1)'!$O$28+'[8]Planeación 2025 P&amp;K (def Mod1)'!$Q$30</f>
        <v>13400000</v>
      </c>
      <c r="L60" s="102">
        <f>+'[8]Planeación 2025 P&amp;K (def Mod1)'!$R$28</f>
        <v>12200000</v>
      </c>
      <c r="M60" s="61">
        <v>0</v>
      </c>
      <c r="N60" s="162">
        <v>0</v>
      </c>
      <c r="O60" s="4">
        <f>SUM(C60:N60)-16042776</f>
        <v>89257224</v>
      </c>
      <c r="P60" s="34"/>
      <c r="Q60" s="40"/>
      <c r="R60" s="38"/>
      <c r="S60" s="2"/>
      <c r="T60" s="2"/>
    </row>
    <row r="61" spans="1:24" x14ac:dyDescent="0.25">
      <c r="A61" s="5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34"/>
      <c r="Q61" s="40"/>
      <c r="R61" s="38"/>
      <c r="S61" s="2"/>
      <c r="T61" s="2"/>
    </row>
    <row r="62" spans="1:24" x14ac:dyDescent="0.25">
      <c r="A62" s="55" t="s">
        <v>7</v>
      </c>
      <c r="B62" s="10">
        <f>SUM(B63:B75)</f>
        <v>195050000</v>
      </c>
      <c r="C62" s="10">
        <f t="shared" ref="C62:O62" si="20">SUM(C63:C75)</f>
        <v>0</v>
      </c>
      <c r="D62" s="10">
        <f t="shared" si="20"/>
        <v>14690000</v>
      </c>
      <c r="E62" s="10">
        <f t="shared" si="20"/>
        <v>14690000</v>
      </c>
      <c r="F62" s="10">
        <f t="shared" si="20"/>
        <v>15490000</v>
      </c>
      <c r="G62" s="10">
        <f>SUM(G63:G75)</f>
        <v>48490000</v>
      </c>
      <c r="H62" s="10">
        <f t="shared" si="20"/>
        <v>15490000</v>
      </c>
      <c r="I62" s="10">
        <f t="shared" si="20"/>
        <v>7200000</v>
      </c>
      <c r="J62" s="10">
        <f t="shared" si="20"/>
        <v>32200000</v>
      </c>
      <c r="K62" s="10">
        <f>SUM(K63:K75)</f>
        <v>12500000</v>
      </c>
      <c r="L62" s="10">
        <f t="shared" si="20"/>
        <v>31700000</v>
      </c>
      <c r="M62" s="10">
        <f>SUM(M63:M75)</f>
        <v>13700000</v>
      </c>
      <c r="N62" s="10">
        <f t="shared" si="20"/>
        <v>18500000</v>
      </c>
      <c r="O62" s="10">
        <f t="shared" si="20"/>
        <v>40484875.100000001</v>
      </c>
      <c r="P62" s="34"/>
      <c r="Q62" s="40"/>
      <c r="R62" s="38"/>
      <c r="S62" s="2"/>
      <c r="T62" s="2"/>
    </row>
    <row r="63" spans="1:24" ht="48" x14ac:dyDescent="0.25">
      <c r="A63" s="58" t="s">
        <v>140</v>
      </c>
      <c r="B63" s="89">
        <v>66000000</v>
      </c>
      <c r="C63" s="4">
        <f>+'[9]Ppto2025 P&amp;K Original'!$J$25</f>
        <v>0</v>
      </c>
      <c r="D63" s="4">
        <f>+'[9]Hoja de W esta'!$K$25</f>
        <v>6000000</v>
      </c>
      <c r="E63" s="85">
        <v>6000000</v>
      </c>
      <c r="F63" s="4">
        <f>+'[8]Planeación 2025 P&amp;K (def Mod1)'!L27</f>
        <v>6000000</v>
      </c>
      <c r="G63" s="124">
        <f>+'[8]Planeación 2025 P&amp;K (def Mod1)'!$M$27</f>
        <v>6000000</v>
      </c>
      <c r="H63" s="124">
        <f>+'[8]Planeación 2025 P&amp;K (def Mod1)'!$M$27</f>
        <v>6000000</v>
      </c>
      <c r="I63" s="124">
        <f>+'[8]Planeación 2025 P&amp;K (def Mod1)'!$O$30+'[8]Planeación 2025 P&amp;K (def Mod1)'!$O$27</f>
        <v>7200000</v>
      </c>
      <c r="J63" s="124">
        <f>+'[8]Planeación 2025 P&amp;K (def Mod1)'!$O$30+'[8]Planeación 2025 P&amp;K (def Mod1)'!O27</f>
        <v>7200000</v>
      </c>
      <c r="K63" s="46">
        <f>+'[8]Planeación 2025 P&amp;K (def Mod1)'!$Q$27</f>
        <v>6000000</v>
      </c>
      <c r="L63" s="85">
        <f>+'[8]Planeación 2025 P&amp;K (def Mod1)'!$R$27+'[8]Planeación 2025 P&amp;K (def Mod1)'!$R$29+'[8]Planeación 2025 P&amp;K (def Mod1)'!$R$30</f>
        <v>25200000</v>
      </c>
      <c r="M63" s="4">
        <f>+'[8]Planeación 2025 P&amp;K (def Mod1)'!$T$27+'[8]Planeación 2025 P&amp;K (def Mod1)'!$T$30</f>
        <v>7200000</v>
      </c>
      <c r="N63" s="4">
        <v>0</v>
      </c>
      <c r="O63" s="4">
        <f>SUM(C63:N63)-56900000</f>
        <v>25900000</v>
      </c>
      <c r="P63" s="34"/>
      <c r="Q63" s="40"/>
      <c r="R63" s="38"/>
      <c r="S63" s="2"/>
      <c r="T63" s="2"/>
    </row>
    <row r="64" spans="1:24" ht="60" x14ac:dyDescent="0.25">
      <c r="A64" s="54" t="s">
        <v>141</v>
      </c>
      <c r="B64" s="85">
        <v>9600000</v>
      </c>
      <c r="C64" s="4">
        <v>0</v>
      </c>
      <c r="D64" s="4"/>
      <c r="E64" s="4">
        <v>0</v>
      </c>
      <c r="F64" s="4">
        <f>1000000-1000000</f>
        <v>0</v>
      </c>
      <c r="G64" s="4">
        <v>0</v>
      </c>
      <c r="H64" s="4">
        <v>0</v>
      </c>
      <c r="I64" s="4">
        <v>0</v>
      </c>
      <c r="J64" s="89">
        <v>0</v>
      </c>
      <c r="K64" s="4">
        <v>0</v>
      </c>
      <c r="L64" s="85">
        <f t="shared" ref="L64:M64" si="21">+K64</f>
        <v>0</v>
      </c>
      <c r="M64" s="4">
        <f t="shared" si="21"/>
        <v>0</v>
      </c>
      <c r="N64" s="161">
        <f>+'[8]Planeación 2025 P&amp;K (def Mod1)'!$T$25+'[8]Planeación 2025 P&amp;K (def Mod1)'!$T$27</f>
        <v>12000000</v>
      </c>
      <c r="O64" s="4">
        <f>SUM(C64:N64)-4700000</f>
        <v>7300000</v>
      </c>
      <c r="P64" s="34"/>
      <c r="Q64" s="40"/>
      <c r="R64" s="38"/>
      <c r="S64" s="2"/>
      <c r="T64" s="2"/>
    </row>
    <row r="65" spans="1:20" x14ac:dyDescent="0.25">
      <c r="A65" s="58" t="s">
        <v>193</v>
      </c>
      <c r="B65" s="85">
        <v>50000000</v>
      </c>
      <c r="C65" s="80">
        <v>0</v>
      </c>
      <c r="D65" s="80"/>
      <c r="E65" s="80">
        <v>0</v>
      </c>
      <c r="F65" s="80">
        <f>8000000-8000000</f>
        <v>0</v>
      </c>
      <c r="G65" s="123">
        <f>+'[8]Planeación 2025 P&amp;K (def Mod1)'!$M$31</f>
        <v>25000000</v>
      </c>
      <c r="H65" s="61">
        <v>0</v>
      </c>
      <c r="I65" s="61">
        <v>0</v>
      </c>
      <c r="J65" s="123">
        <f>+'[8]Planeación 2025 P&amp;K (def Mod1)'!$M$31</f>
        <v>25000000</v>
      </c>
      <c r="K65" s="61">
        <v>0</v>
      </c>
      <c r="L65" s="61">
        <v>0</v>
      </c>
      <c r="M65" s="61">
        <v>0</v>
      </c>
      <c r="N65" s="61">
        <v>0</v>
      </c>
      <c r="O65" s="4">
        <f>SUM(C65:N65)-22000000</f>
        <v>28000000</v>
      </c>
      <c r="P65" s="34"/>
      <c r="Q65" s="40"/>
      <c r="R65" s="38"/>
      <c r="S65" s="2"/>
      <c r="T65" s="2"/>
    </row>
    <row r="66" spans="1:20" ht="48" x14ac:dyDescent="0.25">
      <c r="A66" s="58" t="s">
        <v>142</v>
      </c>
      <c r="B66" s="4">
        <v>0</v>
      </c>
      <c r="C66" s="61">
        <v>0</v>
      </c>
      <c r="D66" s="61">
        <v>0</v>
      </c>
      <c r="E66" s="61">
        <v>0</v>
      </c>
      <c r="F66" s="61"/>
      <c r="G66" s="80">
        <v>0</v>
      </c>
      <c r="H66" s="61">
        <v>0</v>
      </c>
      <c r="I66" s="61">
        <v>0</v>
      </c>
      <c r="J66" s="92">
        <v>0</v>
      </c>
      <c r="K66" s="61">
        <v>0</v>
      </c>
      <c r="L66" s="61">
        <v>0</v>
      </c>
      <c r="M66" s="61">
        <v>0</v>
      </c>
      <c r="N66" s="61">
        <v>0</v>
      </c>
      <c r="O66" s="4">
        <f>SUM(C66:N66)-8000000</f>
        <v>-8000000</v>
      </c>
      <c r="P66" s="34"/>
      <c r="Q66" s="40"/>
      <c r="R66" s="38"/>
      <c r="S66" s="2"/>
      <c r="T66" s="2"/>
    </row>
    <row r="67" spans="1:20" ht="36" x14ac:dyDescent="0.25">
      <c r="A67" s="58" t="s">
        <v>144</v>
      </c>
      <c r="B67" s="85">
        <v>26000000</v>
      </c>
      <c r="C67" s="4">
        <v>0</v>
      </c>
      <c r="D67" s="4"/>
      <c r="E67" s="4">
        <v>0</v>
      </c>
      <c r="F67" s="4">
        <f>+'[8]Planeación 2025 P&amp;K (def Mod1)'!L30</f>
        <v>800000</v>
      </c>
      <c r="G67" s="4">
        <f>+'[8]Planeación 2025 P&amp;K (def Mod1)'!M30+'[8]Planeación 2025 P&amp;K (def Mod1)'!$M$29</f>
        <v>8800000</v>
      </c>
      <c r="H67" s="133">
        <f>+'[8]Planeación 2025 P&amp;K (def Mod1)'!N30</f>
        <v>800000</v>
      </c>
      <c r="I67" s="4">
        <v>0</v>
      </c>
      <c r="J67" s="4">
        <v>0</v>
      </c>
      <c r="K67" s="4">
        <v>0</v>
      </c>
      <c r="L67" s="85">
        <v>0</v>
      </c>
      <c r="M67" s="4">
        <v>0</v>
      </c>
      <c r="N67" s="4">
        <v>0</v>
      </c>
      <c r="O67" s="4">
        <f>SUM(C67:N67)-666664</f>
        <v>9733336</v>
      </c>
      <c r="P67" s="34"/>
      <c r="Q67" s="40"/>
      <c r="R67" s="38"/>
      <c r="S67" s="2"/>
      <c r="T67" s="2"/>
    </row>
    <row r="68" spans="1:20" ht="60" x14ac:dyDescent="0.25">
      <c r="A68" s="54" t="s">
        <v>145</v>
      </c>
      <c r="B68" s="4">
        <v>0</v>
      </c>
      <c r="C68" s="4">
        <v>0</v>
      </c>
      <c r="D68" s="4"/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89">
        <v>0</v>
      </c>
      <c r="K68" s="4">
        <v>0</v>
      </c>
      <c r="L68" s="85">
        <v>0</v>
      </c>
      <c r="M68" s="4">
        <v>0</v>
      </c>
      <c r="N68" s="4">
        <v>0</v>
      </c>
      <c r="O68" s="4">
        <f>SUM(C68:N68)-12000000</f>
        <v>-12000000</v>
      </c>
      <c r="P68" s="34"/>
      <c r="Q68" s="40"/>
      <c r="R68" s="38"/>
      <c r="S68" s="2"/>
      <c r="T68" s="2"/>
    </row>
    <row r="69" spans="1:20" ht="60" x14ac:dyDescent="0.25">
      <c r="A69" s="54" t="s">
        <v>146</v>
      </c>
      <c r="B69" s="4">
        <v>0</v>
      </c>
      <c r="C69" s="61">
        <v>0</v>
      </c>
      <c r="D69" s="61">
        <v>0</v>
      </c>
      <c r="E69" s="61">
        <v>0</v>
      </c>
      <c r="F69" s="61">
        <v>0</v>
      </c>
      <c r="G69" s="4">
        <v>0</v>
      </c>
      <c r="H69" s="61">
        <v>0</v>
      </c>
      <c r="I69" s="4">
        <v>0</v>
      </c>
      <c r="J69" s="61">
        <v>0</v>
      </c>
      <c r="K69" s="4">
        <v>0</v>
      </c>
      <c r="L69" s="61">
        <v>0</v>
      </c>
      <c r="M69" s="61">
        <v>0</v>
      </c>
      <c r="N69" s="61">
        <v>0</v>
      </c>
      <c r="O69" s="4">
        <f>SUM(C69:N69)-60000000</f>
        <v>-60000000</v>
      </c>
      <c r="P69" s="34"/>
      <c r="Q69" s="40"/>
      <c r="R69" s="38"/>
      <c r="S69" s="2"/>
      <c r="T69" s="2"/>
    </row>
    <row r="70" spans="1:20" ht="24" x14ac:dyDescent="0.25">
      <c r="A70" s="58" t="s">
        <v>148</v>
      </c>
      <c r="B70" s="4">
        <v>0</v>
      </c>
      <c r="C70" s="61">
        <v>0</v>
      </c>
      <c r="D70" s="61">
        <v>0</v>
      </c>
      <c r="E70" s="4">
        <v>0</v>
      </c>
      <c r="F70" s="61">
        <v>0</v>
      </c>
      <c r="G70" s="61">
        <v>0</v>
      </c>
      <c r="H70" s="61">
        <v>0</v>
      </c>
      <c r="I70" s="61">
        <v>0</v>
      </c>
      <c r="J70" s="61">
        <v>0</v>
      </c>
      <c r="K70" s="61">
        <v>0</v>
      </c>
      <c r="L70" s="61">
        <v>0</v>
      </c>
      <c r="M70" s="61">
        <v>0</v>
      </c>
      <c r="N70" s="61">
        <v>0</v>
      </c>
      <c r="O70" s="4">
        <f t="shared" si="16"/>
        <v>0</v>
      </c>
      <c r="P70" s="34"/>
      <c r="Q70" s="40"/>
      <c r="R70" s="38"/>
      <c r="S70" s="2"/>
      <c r="T70" s="2"/>
    </row>
    <row r="71" spans="1:20" ht="60" x14ac:dyDescent="0.25">
      <c r="A71" s="54" t="s">
        <v>149</v>
      </c>
      <c r="B71" s="4">
        <v>0</v>
      </c>
      <c r="C71" s="4">
        <v>0</v>
      </c>
      <c r="D71" s="4"/>
      <c r="E71" s="4">
        <v>0</v>
      </c>
      <c r="F71" s="4">
        <v>0</v>
      </c>
      <c r="G71" s="4">
        <v>0</v>
      </c>
      <c r="H71" s="4">
        <v>0</v>
      </c>
      <c r="I71" s="51">
        <v>0</v>
      </c>
      <c r="J71" s="89">
        <v>0</v>
      </c>
      <c r="K71" s="46">
        <f>+'[8]Planeación 2025 P&amp;K (def Mod1)'!$Q$33</f>
        <v>6500000</v>
      </c>
      <c r="L71" s="85">
        <f>+'[8]Planeación 2025 P&amp;K (def Mod1)'!$R$33</f>
        <v>6500000</v>
      </c>
      <c r="M71" s="4">
        <f>+'[8]Planeación 2025 P&amp;K (def Mod1)'!$T$33</f>
        <v>6500000</v>
      </c>
      <c r="N71" s="161">
        <f>+'[8]Planeación 2025 P&amp;K (def Mod1)'!$T$33</f>
        <v>6500000</v>
      </c>
      <c r="O71" s="4">
        <f>SUM(C71:N71)-13054960.9</f>
        <v>12945039.1</v>
      </c>
      <c r="P71" s="34"/>
      <c r="Q71" s="40"/>
      <c r="R71" s="38"/>
      <c r="S71" s="2"/>
      <c r="T71" s="2"/>
    </row>
    <row r="72" spans="1:20" ht="36" x14ac:dyDescent="0.25">
      <c r="A72" s="54" t="s">
        <v>150</v>
      </c>
      <c r="B72" s="4">
        <v>0</v>
      </c>
      <c r="C72" s="4"/>
      <c r="D72" s="4"/>
      <c r="E72" s="4"/>
      <c r="F72" s="4">
        <v>0</v>
      </c>
      <c r="G72" s="4"/>
      <c r="H72" s="4"/>
      <c r="I72" s="4">
        <v>0</v>
      </c>
      <c r="J72" s="4"/>
      <c r="K72" s="4"/>
      <c r="L72" s="85">
        <v>0</v>
      </c>
      <c r="M72" s="4"/>
      <c r="N72" s="4"/>
      <c r="O72" s="4">
        <f t="shared" si="16"/>
        <v>0</v>
      </c>
      <c r="P72" s="34"/>
      <c r="Q72" s="40"/>
      <c r="R72" s="38"/>
      <c r="S72" s="2"/>
      <c r="T72" s="2"/>
    </row>
    <row r="73" spans="1:20" x14ac:dyDescent="0.25">
      <c r="P73" s="34"/>
      <c r="Q73" s="40"/>
      <c r="R73" s="38"/>
      <c r="S73" s="2"/>
      <c r="T73" s="2"/>
    </row>
    <row r="74" spans="1:20" ht="60" x14ac:dyDescent="0.25">
      <c r="A74" s="54" t="s">
        <v>152</v>
      </c>
      <c r="B74" s="85">
        <v>43450000</v>
      </c>
      <c r="C74" s="4"/>
      <c r="D74" s="62">
        <f>+'[9]Hoja de W esta'!$K$30</f>
        <v>8690000</v>
      </c>
      <c r="E74" s="103">
        <v>8690000</v>
      </c>
      <c r="F74" s="62">
        <f>+'[8]Planeación 2025 P&amp;K (def Mod1)'!L32</f>
        <v>8690000</v>
      </c>
      <c r="G74" s="62">
        <f>+'[8]Planeación 2025 P&amp;K (def Mod1)'!M32</f>
        <v>8690000</v>
      </c>
      <c r="H74" s="135">
        <f>+'[8]Planeación 2025 P&amp;K (def Mod1)'!N32</f>
        <v>8690000</v>
      </c>
      <c r="I74" s="62">
        <v>0</v>
      </c>
      <c r="J74" s="93">
        <v>0</v>
      </c>
      <c r="K74" s="62">
        <v>0</v>
      </c>
      <c r="L74" s="103">
        <v>0</v>
      </c>
      <c r="M74" s="4">
        <f>+J74</f>
        <v>0</v>
      </c>
      <c r="N74" s="4">
        <f>+K74</f>
        <v>0</v>
      </c>
      <c r="O74" s="4">
        <f>SUM(C74:N74)+3156500</f>
        <v>46606500</v>
      </c>
      <c r="P74" s="34"/>
      <c r="Q74" s="40"/>
      <c r="R74" s="38"/>
      <c r="S74" s="2"/>
      <c r="T74" s="2"/>
    </row>
    <row r="75" spans="1:20" ht="24.75" x14ac:dyDescent="0.25">
      <c r="A75" s="59" t="s">
        <v>153</v>
      </c>
      <c r="B75" s="4">
        <v>0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>
        <v>0</v>
      </c>
      <c r="O75" s="4">
        <f>SUM(C75:N75)-10000000</f>
        <v>-10000000</v>
      </c>
      <c r="P75" s="34"/>
      <c r="Q75" s="40"/>
      <c r="R75" s="38"/>
      <c r="S75" s="2"/>
      <c r="T75" s="2"/>
    </row>
    <row r="76" spans="1:20" x14ac:dyDescent="0.25">
      <c r="A76" s="55" t="s">
        <v>57</v>
      </c>
      <c r="B76" s="10">
        <f>SUM(B77:B81)</f>
        <v>223872000</v>
      </c>
      <c r="C76" s="10">
        <f t="shared" ref="C76:N76" si="22">SUM(C77:C81)</f>
        <v>6281000</v>
      </c>
      <c r="D76" s="10">
        <f t="shared" si="22"/>
        <v>8611000</v>
      </c>
      <c r="E76" s="117">
        <f t="shared" si="22"/>
        <v>7111000</v>
      </c>
      <c r="F76" s="10">
        <f t="shared" si="22"/>
        <v>7111000</v>
      </c>
      <c r="G76" s="10">
        <f t="shared" si="22"/>
        <v>7111000</v>
      </c>
      <c r="H76" s="10">
        <f t="shared" si="22"/>
        <v>7111000</v>
      </c>
      <c r="I76" s="10">
        <f t="shared" si="22"/>
        <v>7111000</v>
      </c>
      <c r="J76" s="10">
        <f>SUM(J77:J81)</f>
        <v>7111000</v>
      </c>
      <c r="K76" s="10">
        <f t="shared" si="22"/>
        <v>611000</v>
      </c>
      <c r="L76" s="10">
        <f t="shared" si="22"/>
        <v>611000</v>
      </c>
      <c r="M76" s="10">
        <f t="shared" si="22"/>
        <v>611000</v>
      </c>
      <c r="N76" s="10">
        <f t="shared" si="22"/>
        <v>26811000</v>
      </c>
      <c r="O76" s="10">
        <f>SUM(O77:O81)</f>
        <v>83562000</v>
      </c>
      <c r="P76" s="34"/>
      <c r="Q76" s="40"/>
      <c r="R76" s="38"/>
      <c r="S76" s="2"/>
      <c r="T76" s="2"/>
    </row>
    <row r="77" spans="1:20" x14ac:dyDescent="0.25">
      <c r="A77" s="60" t="s">
        <v>154</v>
      </c>
      <c r="B77" s="4">
        <v>0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>
        <v>0</v>
      </c>
      <c r="O77" s="4">
        <f t="shared" si="16"/>
        <v>0</v>
      </c>
      <c r="P77" s="34"/>
      <c r="Q77" s="40"/>
      <c r="R77" s="38"/>
      <c r="S77" s="2"/>
      <c r="T77" s="2"/>
    </row>
    <row r="78" spans="1:20" x14ac:dyDescent="0.25">
      <c r="A78" s="60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161">
        <f>+'[8]Planeación 2025 P&amp;K (def Mod1)'!$T$23</f>
        <v>25000000</v>
      </c>
      <c r="O78" s="4">
        <f t="shared" si="16"/>
        <v>25000000</v>
      </c>
      <c r="P78" s="34"/>
      <c r="Q78" s="40"/>
      <c r="R78" s="38"/>
      <c r="S78" s="2"/>
      <c r="T78" s="2"/>
    </row>
    <row r="79" spans="1:20" x14ac:dyDescent="0.25">
      <c r="A79" s="59" t="s">
        <v>185</v>
      </c>
      <c r="B79" s="85">
        <v>71500000</v>
      </c>
      <c r="C79" s="4"/>
      <c r="D79" s="4">
        <f>+'[9]Hoja de W esta'!$K$31</f>
        <v>6500000</v>
      </c>
      <c r="E79" s="116">
        <v>6500000</v>
      </c>
      <c r="F79" s="4">
        <f>+'[8]Planeación 2025 P&amp;K (def Mod1)'!L33</f>
        <v>6500000</v>
      </c>
      <c r="G79" s="4">
        <f>+'[8]Planeación 2025 P&amp;K (def Mod1)'!M33</f>
        <v>6500000</v>
      </c>
      <c r="H79" s="133">
        <f>+'[8]Planeación 2025 P&amp;K (def Mod1)'!N33</f>
        <v>6500000</v>
      </c>
      <c r="I79" s="51">
        <f>+'[8]Planeación 2025 P&amp;K (def Mod1)'!$O$33</f>
        <v>6500000</v>
      </c>
      <c r="J79" s="120">
        <f>+'[8]Planeación 2025 P&amp;K (def Mod1)'!$O$33</f>
        <v>6500000</v>
      </c>
      <c r="K79" s="4"/>
      <c r="L79" s="4"/>
      <c r="M79" s="4"/>
      <c r="N79" s="4">
        <v>0</v>
      </c>
      <c r="O79" s="4">
        <f t="shared" si="16"/>
        <v>45500000</v>
      </c>
      <c r="P79" s="34"/>
      <c r="Q79" s="40"/>
      <c r="R79" s="38"/>
      <c r="S79" s="2"/>
      <c r="T79" s="2"/>
    </row>
    <row r="80" spans="1:20" ht="60" x14ac:dyDescent="0.25">
      <c r="A80" s="54" t="s">
        <v>151</v>
      </c>
      <c r="B80" s="4">
        <v>0</v>
      </c>
      <c r="C80" s="4"/>
      <c r="D80" s="62">
        <v>1500000</v>
      </c>
      <c r="E80" s="62">
        <v>0</v>
      </c>
      <c r="F80" s="4"/>
      <c r="G80" s="4"/>
      <c r="H80" s="4">
        <v>0</v>
      </c>
      <c r="I80" s="4">
        <v>0</v>
      </c>
      <c r="J80" s="4"/>
      <c r="K80" s="4"/>
      <c r="L80" s="4"/>
      <c r="M80" s="4"/>
      <c r="N80" s="4">
        <v>1200000</v>
      </c>
      <c r="O80" s="4">
        <f>SUM(C80:N80)-2640000</f>
        <v>60000</v>
      </c>
      <c r="P80" s="34"/>
      <c r="Q80" s="40"/>
      <c r="R80" s="38"/>
      <c r="S80" s="2"/>
      <c r="T80" s="2"/>
    </row>
    <row r="81" spans="1:23" x14ac:dyDescent="0.25">
      <c r="A81" s="56" t="s">
        <v>134</v>
      </c>
      <c r="B81" s="4">
        <f>+'[9]Ppto2025 P&amp;K Original'!$F$151+'[9]Ppto2025 P&amp;K Original'!$F$152+'[9]Ppto2025 P&amp;K Original'!$F$153</f>
        <v>152372000</v>
      </c>
      <c r="C81" s="4">
        <f>+'[9]Ppto2025 P&amp;K Original'!$I$151+'[9]Ppto2025 P&amp;K Original'!$I$152+'[9]Ppto2025 P&amp;K Original'!$I$153</f>
        <v>6281000</v>
      </c>
      <c r="D81" s="4">
        <f>+'[9]Hoja de W esta'!$K$151+'[9]Hoja de W esta'!$K$152+'[9]Hoja de W esta'!$K$153</f>
        <v>611000</v>
      </c>
      <c r="E81" s="116">
        <v>611000</v>
      </c>
      <c r="F81" s="4">
        <f>+'[8]Planeación 2025 P&amp;K (def Mod1)'!L153+'[8]Planeación 2025 P&amp;K (def Mod1)'!L154+'[8]Planeación 2025 P&amp;K (def Mod1)'!L155</f>
        <v>611000</v>
      </c>
      <c r="G81" s="120">
        <f>+'[8]Planeación 2025 P&amp;K (def Mod1)'!M153+'[8]Planeación 2025 P&amp;K (def Mod1)'!M154+'[8]Planeación 2025 P&amp;K (def Mod1)'!M155</f>
        <v>611000</v>
      </c>
      <c r="H81" s="4">
        <f>+'[8]Planeación 2025 P&amp;K (def Mod1)'!$N$153+'[8]Planeación 2025 P&amp;K (def Mod1)'!$N$154+'[8]Planeación 2025 P&amp;K (def Mod1)'!$N$155</f>
        <v>611000</v>
      </c>
      <c r="I81" s="4">
        <f t="shared" ref="I81:N81" si="23">+H81</f>
        <v>611000</v>
      </c>
      <c r="J81" s="120">
        <f>+'[8]Planeación 2025 P&amp;K (def Mod1)'!$P$155+'[8]Planeación 2025 P&amp;K (def Mod1)'!$P$154+'[8]Planeación 2025 P&amp;K (def Mod1)'!$P$153</f>
        <v>611000</v>
      </c>
      <c r="K81" s="120">
        <f>+'[8]Planeación 2025 P&amp;K (def Mod1)'!$P$155+'[8]Planeación 2025 P&amp;K (def Mod1)'!$P$154+'[8]Planeación 2025 P&amp;K (def Mod1)'!$P$153</f>
        <v>611000</v>
      </c>
      <c r="L81" s="85">
        <f>+'[8]Planeación 2025 P&amp;K (def Mod1)'!$R$153+'[8]Planeación 2025 P&amp;K (def Mod1)'!$R$154+'[8]Planeación 2025 P&amp;K (def Mod1)'!$R$155</f>
        <v>611000</v>
      </c>
      <c r="M81" s="4">
        <f>+'[8]Planeación 2025 P&amp;K (def Mod1)'!$T$153+'[8]Planeación 2025 P&amp;K (def Mod1)'!$T$154+'[8]Planeación 2025 P&amp;K (def Mod1)'!$T$155</f>
        <v>611000</v>
      </c>
      <c r="N81" s="161">
        <f t="shared" si="23"/>
        <v>611000</v>
      </c>
      <c r="O81" s="4">
        <f>SUM(C81:N81)</f>
        <v>13002000</v>
      </c>
      <c r="P81" s="34"/>
      <c r="Q81" s="40"/>
      <c r="R81" s="38"/>
      <c r="S81" s="2"/>
      <c r="T81" s="2"/>
    </row>
    <row r="82" spans="1:23" x14ac:dyDescent="0.25">
      <c r="A82" s="63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34"/>
      <c r="Q82" s="40"/>
      <c r="R82" s="38"/>
      <c r="S82" s="2"/>
      <c r="T82" s="2"/>
    </row>
    <row r="83" spans="1:23" x14ac:dyDescent="0.25">
      <c r="A83" s="5" t="s">
        <v>66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>
        <f t="shared" si="16"/>
        <v>0</v>
      </c>
      <c r="P83" s="34"/>
      <c r="Q83" s="40"/>
      <c r="R83" s="38"/>
      <c r="S83" s="2"/>
      <c r="T83" s="2"/>
    </row>
    <row r="84" spans="1:23" x14ac:dyDescent="0.25">
      <c r="A84" s="12" t="s">
        <v>52</v>
      </c>
      <c r="B84" s="8">
        <f t="shared" ref="B84:O84" si="24">+B76+B62+B58+B55+B53</f>
        <v>2544879200.3255749</v>
      </c>
      <c r="C84" s="8">
        <f t="shared" si="24"/>
        <v>136569100.03</v>
      </c>
      <c r="D84" s="8">
        <f t="shared" si="24"/>
        <v>180089100.03</v>
      </c>
      <c r="E84" s="8">
        <f t="shared" si="24"/>
        <v>204289100.03</v>
      </c>
      <c r="F84" s="8">
        <f t="shared" si="24"/>
        <v>205089100.03</v>
      </c>
      <c r="G84" s="8">
        <f t="shared" si="24"/>
        <v>246089100.03</v>
      </c>
      <c r="H84" s="8">
        <f t="shared" si="24"/>
        <v>205089100.03</v>
      </c>
      <c r="I84" s="8">
        <f t="shared" si="24"/>
        <v>196799100.03</v>
      </c>
      <c r="J84" s="8">
        <f>+J76+J62+J58+J55+J53</f>
        <v>221799100.03</v>
      </c>
      <c r="K84" s="8">
        <f t="shared" si="24"/>
        <v>196799100.03</v>
      </c>
      <c r="L84" s="8">
        <f t="shared" si="24"/>
        <v>220799100.03</v>
      </c>
      <c r="M84" s="8">
        <f t="shared" si="24"/>
        <v>196799100.03</v>
      </c>
      <c r="N84" s="8">
        <f t="shared" si="24"/>
        <v>227799100.03</v>
      </c>
      <c r="O84" s="8">
        <f t="shared" si="24"/>
        <v>2183957875.46</v>
      </c>
      <c r="P84" s="34"/>
      <c r="Q84" s="40"/>
      <c r="R84" s="39"/>
      <c r="S84" s="2"/>
    </row>
    <row r="85" spans="1:23" x14ac:dyDescent="0.25">
      <c r="A85" s="5" t="s">
        <v>54</v>
      </c>
      <c r="B85" s="109">
        <v>388243582.22105634</v>
      </c>
      <c r="C85" s="85">
        <v>32353631.851754691</v>
      </c>
      <c r="D85" s="85">
        <v>32353631.851754691</v>
      </c>
      <c r="E85" s="85">
        <v>32353631.851754691</v>
      </c>
      <c r="F85" s="85">
        <v>32353631.851754691</v>
      </c>
      <c r="G85" s="119">
        <f>+F85</f>
        <v>32353631.851754691</v>
      </c>
      <c r="H85" s="136">
        <f>+G85</f>
        <v>32353631.851754691</v>
      </c>
      <c r="I85" s="127">
        <f t="shared" ref="I85:N85" si="25">+H85</f>
        <v>32353631.851754691</v>
      </c>
      <c r="J85" s="89">
        <f t="shared" si="25"/>
        <v>32353631.851754691</v>
      </c>
      <c r="K85" s="119">
        <f t="shared" si="25"/>
        <v>32353631.851754691</v>
      </c>
      <c r="L85" s="51">
        <f t="shared" si="25"/>
        <v>32353631.851754691</v>
      </c>
      <c r="M85" s="152">
        <f t="shared" si="25"/>
        <v>32353631.851754691</v>
      </c>
      <c r="N85" s="163">
        <f t="shared" si="25"/>
        <v>32353631.851754691</v>
      </c>
      <c r="O85" s="4">
        <f t="shared" si="16"/>
        <v>388243582.22105622</v>
      </c>
      <c r="P85" s="34"/>
      <c r="Q85" s="40"/>
      <c r="R85" s="38"/>
      <c r="S85" s="2"/>
      <c r="T85" s="2"/>
      <c r="W85" s="2"/>
    </row>
    <row r="86" spans="1:23" x14ac:dyDescent="0.25">
      <c r="A86" s="5" t="s">
        <v>55</v>
      </c>
      <c r="B86" s="46">
        <v>286095540.14507371</v>
      </c>
      <c r="C86" s="4">
        <v>23841295.012089472</v>
      </c>
      <c r="D86" s="85">
        <v>23841295.012089472</v>
      </c>
      <c r="E86" s="83">
        <v>23841295.012089472</v>
      </c>
      <c r="F86" s="85">
        <v>23841295.012089472</v>
      </c>
      <c r="G86" s="127">
        <f>+F86</f>
        <v>23841295.012089472</v>
      </c>
      <c r="H86" s="136">
        <f>+G86</f>
        <v>23841295.012089472</v>
      </c>
      <c r="I86" s="127">
        <f t="shared" ref="I86:N86" si="26">+H86</f>
        <v>23841295.012089472</v>
      </c>
      <c r="J86" s="89">
        <f t="shared" si="26"/>
        <v>23841295.012089472</v>
      </c>
      <c r="K86" s="119">
        <f>+J86</f>
        <v>23841295.012089472</v>
      </c>
      <c r="L86" s="51">
        <f t="shared" si="26"/>
        <v>23841295.012089472</v>
      </c>
      <c r="M86" s="152">
        <f t="shared" si="26"/>
        <v>23841295.012089472</v>
      </c>
      <c r="N86" s="161">
        <f t="shared" si="26"/>
        <v>23841295.012089472</v>
      </c>
      <c r="O86" s="4">
        <f t="shared" si="16"/>
        <v>286095540.14507359</v>
      </c>
      <c r="P86" s="34"/>
      <c r="Q86" s="40"/>
      <c r="R86" s="38"/>
      <c r="S86" s="2"/>
      <c r="T86" s="2"/>
      <c r="W86" s="2"/>
    </row>
    <row r="87" spans="1:23" x14ac:dyDescent="0.25">
      <c r="A87" s="5" t="s">
        <v>155</v>
      </c>
      <c r="B87" s="46"/>
      <c r="C87" s="4"/>
      <c r="D87" s="4">
        <f>+'[9]Hoja de W esta'!$K$88</f>
        <v>20000000</v>
      </c>
      <c r="E87" s="4">
        <v>0</v>
      </c>
      <c r="F87" s="4">
        <v>0</v>
      </c>
      <c r="G87" s="4">
        <v>0</v>
      </c>
      <c r="H87" s="4">
        <v>0</v>
      </c>
      <c r="I87" s="4">
        <f>+[10]Resumennna!U363</f>
        <v>0</v>
      </c>
      <c r="J87" s="89">
        <f>+'[8]Planeación 2025 P&amp;K (def Mod1)'!P90</f>
        <v>16000000</v>
      </c>
      <c r="K87" s="119">
        <f>+'[8]Planeación 2025 P&amp;K (def Mod1)'!Q90</f>
        <v>0</v>
      </c>
      <c r="L87" s="89">
        <v>0</v>
      </c>
      <c r="M87" s="119">
        <f>+[10]Resumennna!Y363</f>
        <v>0</v>
      </c>
      <c r="N87" s="4">
        <f>+[10]Resumennna!Z363</f>
        <v>0</v>
      </c>
      <c r="O87" s="4">
        <f>SUM(C87:N87)+1000000</f>
        <v>37000000</v>
      </c>
      <c r="P87" s="34"/>
      <c r="Q87" s="40"/>
      <c r="R87" s="38"/>
      <c r="S87" s="2"/>
      <c r="T87" s="2"/>
      <c r="W87" s="2"/>
    </row>
    <row r="88" spans="1:23" x14ac:dyDescent="0.25">
      <c r="A88" s="5" t="s">
        <v>18</v>
      </c>
      <c r="B88" s="46">
        <v>20000000</v>
      </c>
      <c r="C88" s="4">
        <v>0</v>
      </c>
      <c r="D88" s="4">
        <f>+'[9]Hoja de W esta'!$K$89</f>
        <v>5000000</v>
      </c>
      <c r="E88" s="83">
        <v>1500000</v>
      </c>
      <c r="F88" s="85">
        <f>+'[8]Planeación 2025 P&amp;K (def Mod1)'!L91</f>
        <v>1500000</v>
      </c>
      <c r="G88" s="127">
        <f>+'[8]Planeación 2025 P&amp;K (def Mod1)'!M91</f>
        <v>1500000</v>
      </c>
      <c r="H88" s="136">
        <f>+'[8]Planeación 2025 P&amp;K (def Mod1)'!N91</f>
        <v>1500000</v>
      </c>
      <c r="I88" s="127">
        <f>+'[8]Planeación 2025 P&amp;K (def Mod1)'!$O$91</f>
        <v>1500000</v>
      </c>
      <c r="J88" s="89">
        <f>+'[8]Planeación 2025 P&amp;K (def Mod1)'!$O$91</f>
        <v>1500000</v>
      </c>
      <c r="K88" s="119">
        <f>+'[8]Planeación 2025 P&amp;K (def Mod1)'!$O$91</f>
        <v>1500000</v>
      </c>
      <c r="L88" s="119">
        <f>+'[8]Planeación 2025 P&amp;K (def Mod1)'!$O$91</f>
        <v>1500000</v>
      </c>
      <c r="M88" s="152">
        <f>+'[8]Planeación 2025 P&amp;K (def Mod1)'!$O$91</f>
        <v>1500000</v>
      </c>
      <c r="N88" s="163">
        <f>+'[8]Planeación 2025 P&amp;K (def Mod1)'!$O$91</f>
        <v>1500000</v>
      </c>
      <c r="O88" s="4">
        <f>SUM(C88:N88)+1200000</f>
        <v>21200000</v>
      </c>
      <c r="P88" s="34"/>
      <c r="Q88" s="40"/>
      <c r="R88" s="38"/>
      <c r="S88" s="2"/>
      <c r="T88" s="2"/>
    </row>
    <row r="89" spans="1:23" x14ac:dyDescent="0.25">
      <c r="A89" s="5" t="s">
        <v>71</v>
      </c>
      <c r="B89" s="109">
        <v>7200000</v>
      </c>
      <c r="C89" s="85"/>
      <c r="D89" s="85">
        <f>+'[9]Hoja de W esta'!$K$51</f>
        <v>600000</v>
      </c>
      <c r="E89" s="83">
        <v>600000</v>
      </c>
      <c r="F89" s="85">
        <f>+'[8]Planeación 2025 P&amp;K (def Mod1)'!L53</f>
        <v>600000</v>
      </c>
      <c r="G89" s="119">
        <f>+'[8]Planeación 2025 P&amp;K (def Mod1)'!M53</f>
        <v>600000</v>
      </c>
      <c r="H89" s="136">
        <f>+'[8]Planeación 2025 P&amp;K (def Mod1)'!N53</f>
        <v>600000</v>
      </c>
      <c r="I89" s="127">
        <v>600000</v>
      </c>
      <c r="J89" s="89">
        <v>600000</v>
      </c>
      <c r="K89" s="119">
        <v>600000</v>
      </c>
      <c r="L89" s="119">
        <v>600000</v>
      </c>
      <c r="M89" s="152">
        <v>600000</v>
      </c>
      <c r="N89" s="163">
        <f>+M89</f>
        <v>600000</v>
      </c>
      <c r="O89" s="4">
        <f>SUM(C89:N89)-5000000</f>
        <v>1600000</v>
      </c>
      <c r="P89" s="34"/>
      <c r="Q89" s="40"/>
      <c r="R89" s="38"/>
      <c r="S89" s="2"/>
      <c r="T89" s="2"/>
    </row>
    <row r="90" spans="1:23" x14ac:dyDescent="0.25">
      <c r="A90" s="5" t="s">
        <v>84</v>
      </c>
      <c r="B90" s="46">
        <v>450000</v>
      </c>
      <c r="C90" s="4">
        <v>0</v>
      </c>
      <c r="D90" s="4">
        <v>0</v>
      </c>
      <c r="E90" s="83">
        <v>0</v>
      </c>
      <c r="F90" s="4">
        <v>0</v>
      </c>
      <c r="G90" s="4">
        <v>0</v>
      </c>
      <c r="H90" s="136">
        <f>+'[8]Planeación 2025 P&amp;K (def Mod1)'!$N$97</f>
        <v>450000</v>
      </c>
      <c r="I90" s="4"/>
      <c r="J90" s="4"/>
      <c r="K90" s="4"/>
      <c r="L90" s="4"/>
      <c r="M90" s="119"/>
      <c r="N90" s="4"/>
      <c r="O90" s="4">
        <f t="shared" si="16"/>
        <v>450000</v>
      </c>
      <c r="P90" s="34"/>
      <c r="Q90" s="40"/>
      <c r="R90" s="38"/>
      <c r="S90" s="2"/>
      <c r="T90" s="2"/>
    </row>
    <row r="91" spans="1:23" x14ac:dyDescent="0.25">
      <c r="A91" s="5" t="s">
        <v>19</v>
      </c>
      <c r="B91" s="109">
        <v>145560000</v>
      </c>
      <c r="C91" s="85">
        <v>12130000</v>
      </c>
      <c r="D91" s="85">
        <f>+'[9]Hoja de W esta'!$K$53</f>
        <v>12130000</v>
      </c>
      <c r="E91" s="83">
        <v>12130000</v>
      </c>
      <c r="F91" s="85">
        <f>+'[8]Planeación 2025 P&amp;K (def Mod1)'!L55</f>
        <v>12130000</v>
      </c>
      <c r="G91" s="119">
        <f>+'[8]Planeación 2025 P&amp;K (def Mod1)'!M55</f>
        <v>12130000</v>
      </c>
      <c r="H91" s="136">
        <f>+'[8]Planeación 2025 P&amp;K (def Mod1)'!N55</f>
        <v>12130000</v>
      </c>
      <c r="I91" s="127">
        <f>+'[8]Planeación 2025 P&amp;K (def Mod1)'!$O$55</f>
        <v>12130000</v>
      </c>
      <c r="J91" s="89">
        <f>+'[8]Planeación 2025 P&amp;K (def Mod1)'!$O$55</f>
        <v>12130000</v>
      </c>
      <c r="K91" s="119">
        <f>+'[8]Planeación 2025 P&amp;K (def Mod1)'!$O$55</f>
        <v>12130000</v>
      </c>
      <c r="L91" s="119">
        <f>+'[8]Planeación 2025 P&amp;K (def Mod1)'!$O$55</f>
        <v>12130000</v>
      </c>
      <c r="M91" s="152">
        <f>+'[8]Planeación 2025 P&amp;K (def Mod1)'!$O$55</f>
        <v>12130000</v>
      </c>
      <c r="N91" s="163">
        <f>+M91</f>
        <v>12130000</v>
      </c>
      <c r="O91" s="4">
        <f t="shared" si="16"/>
        <v>145560000</v>
      </c>
      <c r="P91" s="34"/>
      <c r="Q91" s="40"/>
      <c r="R91" s="38"/>
      <c r="S91" s="2"/>
      <c r="T91" s="2"/>
    </row>
    <row r="92" spans="1:23" ht="30" x14ac:dyDescent="0.25">
      <c r="A92" s="21" t="s">
        <v>89</v>
      </c>
      <c r="B92" s="109">
        <v>37800000</v>
      </c>
      <c r="C92" s="4">
        <v>0</v>
      </c>
      <c r="D92" s="85">
        <v>0</v>
      </c>
      <c r="E92" s="83">
        <v>3000000</v>
      </c>
      <c r="F92" s="86">
        <f>+'[8]Planeación 2025 P&amp;K (def Mod1)'!L56</f>
        <v>3000000</v>
      </c>
      <c r="G92" s="129">
        <f>+'[8]Planeación 2025 P&amp;K (def Mod1)'!M56+'[8]Planeación 2025 P&amp;K (def Mod1)'!M66</f>
        <v>6000000</v>
      </c>
      <c r="H92" s="137">
        <f>+'[8]Planeación 2025 P&amp;K (def Mod1)'!N56+'[8]Planeación 2025 P&amp;K (def Mod1)'!N66</f>
        <v>3000000</v>
      </c>
      <c r="I92" s="128">
        <f>+'[8]Planeación 2025 P&amp;K (def Mod1)'!$O$56</f>
        <v>3000000</v>
      </c>
      <c r="J92" s="91">
        <f>+'[8]Planeación 2025 P&amp;K (def Mod1)'!$O$56</f>
        <v>3000000</v>
      </c>
      <c r="K92" s="129">
        <f>+'[8]Planeación 2025 P&amp;K (def Mod1)'!$O$56</f>
        <v>3000000</v>
      </c>
      <c r="L92" s="129">
        <f>+'[8]Planeación 2025 P&amp;K (def Mod1)'!$O$56</f>
        <v>3000000</v>
      </c>
      <c r="M92" s="153">
        <f>+'[8]Planeación 2025 P&amp;K (def Mod1)'!O56+'[8]Planeación 2025 P&amp;K (def Mod1)'!S69</f>
        <v>5400000</v>
      </c>
      <c r="N92" s="163">
        <f>+'[8]Planeación 2025 P&amp;K (def Mod1)'!P56+'[8]Planeación 2025 P&amp;K (def Mod1)'!T69</f>
        <v>3000000</v>
      </c>
      <c r="O92" s="4">
        <f>SUM(C92:N92)-43237295</f>
        <v>-7837295</v>
      </c>
      <c r="P92" s="34"/>
      <c r="Q92" s="40"/>
      <c r="R92" s="38"/>
      <c r="S92" s="2"/>
      <c r="T92" s="2"/>
    </row>
    <row r="93" spans="1:23" x14ac:dyDescent="0.25">
      <c r="A93" s="5" t="s">
        <v>72</v>
      </c>
      <c r="B93" s="109">
        <v>55740000</v>
      </c>
      <c r="C93" s="85">
        <v>4645000</v>
      </c>
      <c r="D93" s="85">
        <f>+'[9]Hoja de W esta'!$K$68+'[9]Hoja de W esta'!$K$69+'[9]Hoja de W esta'!$K$70+'[9]Hoja de W esta'!$K$71+'[9]Hoja de W esta'!$K$72</f>
        <v>4645000</v>
      </c>
      <c r="E93" s="83">
        <v>4645000</v>
      </c>
      <c r="F93" s="85">
        <f>+'[8]Planeación 2025 P&amp;K (def Mod1)'!L70+'[8]Planeación 2025 P&amp;K (def Mod1)'!$L$71+'[8]Planeación 2025 P&amp;K (def Mod1)'!L72+'[8]Planeación 2025 P&amp;K (def Mod1)'!L73+'[8]Planeación 2025 P&amp;K (def Mod1)'!L74</f>
        <v>4645000</v>
      </c>
      <c r="G93" s="119">
        <f>+'[8]Planeación 2025 P&amp;K (def Mod1)'!M70+'[8]Planeación 2025 P&amp;K (def Mod1)'!$L$71+'[8]Planeación 2025 P&amp;K (def Mod1)'!M72+'[8]Planeación 2025 P&amp;K (def Mod1)'!M73+'[8]Planeación 2025 P&amp;K (def Mod1)'!M74</f>
        <v>4645000</v>
      </c>
      <c r="H93" s="136">
        <f>+'[8]Planeación 2025 P&amp;K (def Mod1)'!N70+'[8]Planeación 2025 P&amp;K (def Mod1)'!$L$71+'[8]Planeación 2025 P&amp;K (def Mod1)'!N72+'[8]Planeación 2025 P&amp;K (def Mod1)'!N73+'[8]Planeación 2025 P&amp;K (def Mod1)'!N74</f>
        <v>4645000</v>
      </c>
      <c r="I93" s="127">
        <f>+'[8]Planeación 2025 P&amp;K (def Mod1)'!$O$74+'[8]Planeación 2025 P&amp;K (def Mod1)'!$O$73+'[8]Planeación 2025 P&amp;K (def Mod1)'!$O$72+'[8]Planeación 2025 P&amp;K (def Mod1)'!$O$71+'[8]Planeación 2025 P&amp;K (def Mod1)'!$O$70</f>
        <v>4645000</v>
      </c>
      <c r="J93" s="89">
        <f>+'[8]Planeación 2025 P&amp;K (def Mod1)'!$O$74+'[8]Planeación 2025 P&amp;K (def Mod1)'!$O$73+'[8]Planeación 2025 P&amp;K (def Mod1)'!$O$72+'[8]Planeación 2025 P&amp;K (def Mod1)'!$O$71+'[8]Planeación 2025 P&amp;K (def Mod1)'!$O$70</f>
        <v>4645000</v>
      </c>
      <c r="K93" s="119">
        <f>+'[8]Planeación 2025 P&amp;K (def Mod1)'!$O$74+'[8]Planeación 2025 P&amp;K (def Mod1)'!$O$73+'[8]Planeación 2025 P&amp;K (def Mod1)'!$O$72+'[8]Planeación 2025 P&amp;K (def Mod1)'!$O$71+'[8]Planeación 2025 P&amp;K (def Mod1)'!$O$70</f>
        <v>4645000</v>
      </c>
      <c r="L93" s="119">
        <f>+'[8]Planeación 2025 P&amp;K (def Mod1)'!$O$74+'[8]Planeación 2025 P&amp;K (def Mod1)'!$O$73+'[8]Planeación 2025 P&amp;K (def Mod1)'!$O$72+'[8]Planeación 2025 P&amp;K (def Mod1)'!$O$71+'[8]Planeación 2025 P&amp;K (def Mod1)'!$O$70</f>
        <v>4645000</v>
      </c>
      <c r="M93" s="152">
        <f>+'[8]Planeación 2025 P&amp;K (def Mod1)'!$O$74+'[8]Planeación 2025 P&amp;K (def Mod1)'!$O$73+'[8]Planeación 2025 P&amp;K (def Mod1)'!$O$72+'[8]Planeación 2025 P&amp;K (def Mod1)'!$O$71+'[8]Planeación 2025 P&amp;K (def Mod1)'!$O$70</f>
        <v>4645000</v>
      </c>
      <c r="N93" s="163">
        <f>+'[8]Planeación 2025 P&amp;K (def Mod1)'!$O$74+'[8]Planeación 2025 P&amp;K (def Mod1)'!$O$73+'[8]Planeación 2025 P&amp;K (def Mod1)'!$O$72+'[8]Planeación 2025 P&amp;K (def Mod1)'!$O$71+'[8]Planeación 2025 P&amp;K (def Mod1)'!$O$70</f>
        <v>4645000</v>
      </c>
      <c r="O93" s="4">
        <f>SUM(C93:N93)+2400000</f>
        <v>58140000</v>
      </c>
      <c r="P93" s="34"/>
      <c r="Q93" s="40"/>
      <c r="R93" s="38"/>
      <c r="S93" s="2"/>
      <c r="T93" s="2"/>
    </row>
    <row r="94" spans="1:23" ht="45" x14ac:dyDescent="0.25">
      <c r="A94" s="21" t="s">
        <v>65</v>
      </c>
      <c r="B94" s="109">
        <v>127600000</v>
      </c>
      <c r="C94" s="4">
        <v>0</v>
      </c>
      <c r="D94" s="4">
        <v>0</v>
      </c>
      <c r="E94" s="75"/>
      <c r="F94" s="87">
        <f>+'[8]Planeación 2025 P&amp;K (def Mod1)'!$L$57+'[8]Planeación 2025 P&amp;K (def Mod1)'!$L$77</f>
        <v>52800000</v>
      </c>
      <c r="G94" s="75">
        <v>0</v>
      </c>
      <c r="H94" s="75">
        <v>0</v>
      </c>
      <c r="I94" s="75">
        <v>0</v>
      </c>
      <c r="J94" s="90">
        <f>+'[8]Planeación 2025 P&amp;K (def Mod1)'!P57+'[8]Planeación 2025 P&amp;K (def Mod1)'!P77</f>
        <v>52800000</v>
      </c>
      <c r="K94" s="130">
        <f>+'[8]Planeación 2025 P&amp;K (def Mod1)'!Q57+'[8]Planeación 2025 P&amp;K (def Mod1)'!Q77</f>
        <v>0</v>
      </c>
      <c r="L94" s="4">
        <f>+[10]Resumennna!X317</f>
        <v>0</v>
      </c>
      <c r="M94" s="152">
        <f>+'[8]Planeación 2025 P&amp;K (def Mod1)'!S77+'2025Ej'!AG60</f>
        <v>22000000</v>
      </c>
      <c r="N94" s="152">
        <f>+'[8]Planeación 2025 P&amp;K (def Mod1)'!T77+'2025Ej'!AH60</f>
        <v>0</v>
      </c>
      <c r="O94" s="4">
        <f t="shared" si="16"/>
        <v>127600000</v>
      </c>
      <c r="P94" s="34"/>
      <c r="Q94" s="40"/>
      <c r="R94" s="38"/>
      <c r="S94" s="2"/>
      <c r="T94" s="2"/>
    </row>
    <row r="95" spans="1:23" ht="45" x14ac:dyDescent="0.25">
      <c r="A95" s="21" t="s">
        <v>20</v>
      </c>
      <c r="B95" s="109">
        <v>2850000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f>+[10]Resumennna!U348</f>
        <v>0</v>
      </c>
      <c r="J95" s="4">
        <f>+[10]Resumennna!V348</f>
        <v>0</v>
      </c>
      <c r="K95" s="4">
        <v>0</v>
      </c>
      <c r="L95" s="4">
        <f>+[10]Resumennna!X348</f>
        <v>0</v>
      </c>
      <c r="M95" s="4">
        <f>+[10]Resumennna!Y348</f>
        <v>0</v>
      </c>
      <c r="N95" s="4">
        <f>+[10]Resumennna!Z348</f>
        <v>0</v>
      </c>
      <c r="O95" s="4">
        <f t="shared" si="16"/>
        <v>0</v>
      </c>
      <c r="P95" s="34"/>
      <c r="Q95" s="40"/>
      <c r="R95" s="38"/>
      <c r="S95" s="2"/>
      <c r="T95" s="2"/>
    </row>
    <row r="96" spans="1:23" x14ac:dyDescent="0.25">
      <c r="A96" s="5" t="s">
        <v>21</v>
      </c>
      <c r="B96" s="46">
        <v>18000000</v>
      </c>
      <c r="C96" s="66">
        <v>0</v>
      </c>
      <c r="D96" s="66">
        <v>0</v>
      </c>
      <c r="E96" s="84">
        <v>0</v>
      </c>
      <c r="F96" s="121">
        <f>+'[8]Planeación 2025 P&amp;K (def Mod1)'!L95</f>
        <v>2000000</v>
      </c>
      <c r="G96" s="128">
        <f>+'[8]Planeación 2025 P&amp;K (def Mod1)'!M95</f>
        <v>2000000</v>
      </c>
      <c r="H96" s="137">
        <f>+'[8]Planeación 2025 P&amp;K (def Mod1)'!N95</f>
        <v>2000000</v>
      </c>
      <c r="I96" s="128">
        <f>+'[8]Planeación 2025 P&amp;K (def Mod1)'!$O$95</f>
        <v>2000000</v>
      </c>
      <c r="J96" s="91">
        <f>+'[8]Planeación 2025 P&amp;K (def Mod1)'!$O$95</f>
        <v>2000000</v>
      </c>
      <c r="K96" s="129">
        <f>+'[8]Planeación 2025 P&amp;K (def Mod1)'!$O$95</f>
        <v>2000000</v>
      </c>
      <c r="L96" s="129">
        <f>+'[8]Planeación 2025 P&amp;K (def Mod1)'!$O$95</f>
        <v>2000000</v>
      </c>
      <c r="M96" s="153">
        <f>+'[8]Planeación 2025 P&amp;K (def Mod1)'!$O$95</f>
        <v>2000000</v>
      </c>
      <c r="N96" s="165">
        <f>+'[8]Planeación 2025 P&amp;K (def Mod1)'!$O$95</f>
        <v>2000000</v>
      </c>
      <c r="O96" s="4">
        <f t="shared" si="16"/>
        <v>18000000</v>
      </c>
      <c r="P96" s="34"/>
      <c r="Q96" s="40"/>
      <c r="R96" s="38"/>
      <c r="S96" s="2"/>
      <c r="T96" s="2"/>
    </row>
    <row r="97" spans="1:20" x14ac:dyDescent="0.25">
      <c r="A97" s="5" t="s">
        <v>167</v>
      </c>
      <c r="B97" s="109">
        <v>13000000</v>
      </c>
      <c r="C97" s="4"/>
      <c r="D97" s="4"/>
      <c r="E97" s="83">
        <v>1300000</v>
      </c>
      <c r="F97" s="87">
        <f>+'[8]Planeación 2025 P&amp;K (def Mod1)'!L58</f>
        <v>1300000</v>
      </c>
      <c r="G97" s="130">
        <f>+'[8]Planeación 2025 P&amp;K (def Mod1)'!M58</f>
        <v>1300000</v>
      </c>
      <c r="H97" s="138">
        <f>+'[8]Planeación 2025 P&amp;K (def Mod1)'!N58</f>
        <v>1300000</v>
      </c>
      <c r="I97" s="142">
        <f>+'[8]Planeación 2025 P&amp;K (def Mod1)'!$O$58</f>
        <v>1300000</v>
      </c>
      <c r="J97" s="90">
        <f>+'[8]Planeación 2025 P&amp;K (def Mod1)'!$O$58</f>
        <v>1300000</v>
      </c>
      <c r="K97" s="130">
        <f>+'[8]Planeación 2025 P&amp;K (def Mod1)'!$O$58</f>
        <v>1300000</v>
      </c>
      <c r="L97" s="130">
        <f>+'[8]Planeación 2025 P&amp;K (def Mod1)'!$O$58</f>
        <v>1300000</v>
      </c>
      <c r="M97" s="154">
        <f>+'[8]Planeación 2025 P&amp;K (def Mod1)'!$O$58</f>
        <v>1300000</v>
      </c>
      <c r="N97" s="164">
        <f>+'[8]Planeación 2025 P&amp;K (def Mod1)'!$O$58</f>
        <v>1300000</v>
      </c>
      <c r="O97" s="4">
        <f>SUM(C97:N97)+435000</f>
        <v>13435000</v>
      </c>
      <c r="P97" s="34"/>
      <c r="Q97" s="40"/>
      <c r="R97" s="38"/>
      <c r="S97" s="2"/>
      <c r="T97" s="2"/>
    </row>
    <row r="98" spans="1:20" x14ac:dyDescent="0.25">
      <c r="A98" s="21" t="s">
        <v>85</v>
      </c>
      <c r="B98" s="46"/>
      <c r="C98" s="4">
        <v>0</v>
      </c>
      <c r="D98" s="85">
        <f>+'[9]Hoja de W esta'!$K$147</f>
        <v>580000</v>
      </c>
      <c r="E98" s="83">
        <v>580000</v>
      </c>
      <c r="F98" s="85">
        <f>+'[8]Planeación 2025 P&amp;K (def Mod1)'!L149</f>
        <v>580000</v>
      </c>
      <c r="G98" s="83">
        <f>+'[8]Planeación 2025 P&amp;K (def Mod1)'!M149</f>
        <v>580000</v>
      </c>
      <c r="H98" s="136">
        <f>+'[8]Planeación 2025 P&amp;K (def Mod1)'!N149</f>
        <v>580000</v>
      </c>
      <c r="I98" s="127">
        <f>+'[8]Planeación 2025 P&amp;K (def Mod1)'!$O$149</f>
        <v>580000</v>
      </c>
      <c r="J98" s="89">
        <f>+'[8]Planeación 2025 P&amp;K (def Mod1)'!$O$149</f>
        <v>580000</v>
      </c>
      <c r="K98" s="119">
        <f>+'[8]Planeación 2025 P&amp;K (def Mod1)'!$O$149</f>
        <v>580000</v>
      </c>
      <c r="L98" s="119">
        <f>+'[8]Planeación 2025 P&amp;K (def Mod1)'!$O$149</f>
        <v>580000</v>
      </c>
      <c r="M98" s="152">
        <f>+'[8]Planeación 2025 P&amp;K (def Mod1)'!$O$149</f>
        <v>580000</v>
      </c>
      <c r="N98" s="163">
        <f>+'[8]Planeación 2025 P&amp;K (def Mod1)'!$O$149</f>
        <v>580000</v>
      </c>
      <c r="O98" s="4">
        <f t="shared" si="16"/>
        <v>6380000</v>
      </c>
      <c r="P98" s="34"/>
      <c r="Q98" s="40"/>
      <c r="R98" s="38"/>
      <c r="S98" s="2"/>
      <c r="T98" s="2"/>
    </row>
    <row r="99" spans="1:20" x14ac:dyDescent="0.25">
      <c r="A99" s="5" t="s">
        <v>23</v>
      </c>
      <c r="B99" s="109">
        <v>109000000</v>
      </c>
      <c r="C99" s="4">
        <v>0</v>
      </c>
      <c r="D99" s="75">
        <v>0</v>
      </c>
      <c r="E99" s="107">
        <v>10900000</v>
      </c>
      <c r="F99" s="87">
        <f>+'[8]Planeación 2025 P&amp;K (def Mod1)'!L59</f>
        <v>10900000</v>
      </c>
      <c r="G99" s="130">
        <f>+'[8]Planeación 2025 P&amp;K (def Mod1)'!M59</f>
        <v>10900000</v>
      </c>
      <c r="H99" s="138">
        <f>+'[8]Planeación 2025 P&amp;K (def Mod1)'!N59</f>
        <v>10900000</v>
      </c>
      <c r="I99" s="142">
        <f>+'[8]Planeación 2025 P&amp;K (def Mod1)'!$O$59</f>
        <v>10900000</v>
      </c>
      <c r="J99" s="90">
        <f>+'[8]Planeación 2025 P&amp;K (def Mod1)'!$O$59</f>
        <v>10900000</v>
      </c>
      <c r="K99" s="130">
        <f>+'[8]Planeación 2025 P&amp;K (def Mod1)'!$O$59</f>
        <v>10900000</v>
      </c>
      <c r="L99" s="130">
        <f>+'[8]Planeación 2025 P&amp;K (def Mod1)'!$O$59</f>
        <v>10900000</v>
      </c>
      <c r="M99" s="154">
        <f>+'[8]Planeación 2025 P&amp;K (def Mod1)'!$O$59</f>
        <v>10900000</v>
      </c>
      <c r="N99" s="164">
        <f>+'[8]Planeación 2025 P&amp;K (def Mod1)'!$O$59</f>
        <v>10900000</v>
      </c>
      <c r="O99" s="4">
        <f>SUM(C99:N99)-2930000</f>
        <v>106070000</v>
      </c>
      <c r="P99" s="34"/>
      <c r="Q99" s="40"/>
      <c r="R99" s="38"/>
      <c r="S99" s="2"/>
      <c r="T99" s="2"/>
    </row>
    <row r="100" spans="1:20" x14ac:dyDescent="0.25">
      <c r="A100" s="5" t="s">
        <v>166</v>
      </c>
      <c r="B100" s="109">
        <v>4000000</v>
      </c>
      <c r="C100" s="81">
        <v>0</v>
      </c>
      <c r="D100" s="81">
        <v>0</v>
      </c>
      <c r="E100" s="81">
        <v>0</v>
      </c>
      <c r="F100" s="81">
        <v>0</v>
      </c>
      <c r="G100" s="131">
        <f>+'[8]Planeación 2025 P&amp;K (def Mod1)'!M65</f>
        <v>800000</v>
      </c>
      <c r="H100" s="139">
        <f>+'[8]Planeación 2025 P&amp;K (def Mod1)'!N65</f>
        <v>3200000</v>
      </c>
      <c r="I100" s="143">
        <f>+'[8]Planeación 2025 P&amp;K (def Mod1)'!$O$48</f>
        <v>3000000</v>
      </c>
      <c r="J100" s="68">
        <v>0</v>
      </c>
      <c r="K100" s="131">
        <f>+'[8]Planeación 2025 P&amp;K (def Mod1)'!$O$48</f>
        <v>3000000</v>
      </c>
      <c r="L100" s="68">
        <v>0</v>
      </c>
      <c r="M100" s="130">
        <v>0</v>
      </c>
      <c r="N100" s="68">
        <v>0</v>
      </c>
      <c r="O100" s="4">
        <f>SUM(C100:N100)-12000000</f>
        <v>-2000000</v>
      </c>
      <c r="P100" s="34"/>
      <c r="Q100" s="40"/>
      <c r="R100" s="38"/>
      <c r="S100" s="2"/>
      <c r="T100" s="2"/>
    </row>
    <row r="101" spans="1:20" ht="30" x14ac:dyDescent="0.25">
      <c r="A101" s="21" t="s">
        <v>37</v>
      </c>
      <c r="B101" s="109">
        <v>90600000</v>
      </c>
      <c r="C101" s="87">
        <v>7550000</v>
      </c>
      <c r="D101" s="87">
        <f>+'[9]Hoja de W esta'!$K$58</f>
        <v>7550000</v>
      </c>
      <c r="E101" s="107">
        <v>7550000</v>
      </c>
      <c r="F101" s="87">
        <f>+'[8]Planeación 2025 P&amp;K (def Mod1)'!L60</f>
        <v>7550000</v>
      </c>
      <c r="G101" s="130">
        <f>+'[8]Planeación 2025 P&amp;K (def Mod1)'!M60</f>
        <v>7550000</v>
      </c>
      <c r="H101" s="138">
        <f>+'[8]Planeación 2025 P&amp;K (def Mod1)'!N60</f>
        <v>7550000</v>
      </c>
      <c r="I101" s="142">
        <f>+'[8]Planeación 2025 P&amp;K (def Mod1)'!$O$60</f>
        <v>7550000</v>
      </c>
      <c r="J101" s="90">
        <f>+'[8]Planeación 2025 P&amp;K (def Mod1)'!$O$60</f>
        <v>7550000</v>
      </c>
      <c r="K101" s="130">
        <f>+'[8]Planeación 2025 P&amp;K (def Mod1)'!$O$60</f>
        <v>7550000</v>
      </c>
      <c r="L101" s="130">
        <f>+'[8]Planeación 2025 P&amp;K (def Mod1)'!$O$60</f>
        <v>7550000</v>
      </c>
      <c r="M101" s="154">
        <f>+'[8]Planeación 2025 P&amp;K (def Mod1)'!$O$60</f>
        <v>7550000</v>
      </c>
      <c r="N101" s="164">
        <f>+'[8]Planeación 2025 P&amp;K (def Mod1)'!$O$60</f>
        <v>7550000</v>
      </c>
      <c r="O101" s="4">
        <f t="shared" si="16"/>
        <v>90600000</v>
      </c>
      <c r="P101" s="34"/>
      <c r="Q101" s="40"/>
      <c r="R101" s="38"/>
      <c r="S101" s="2"/>
      <c r="T101" s="2"/>
    </row>
    <row r="102" spans="1:20" ht="30" x14ac:dyDescent="0.25">
      <c r="A102" s="21" t="s">
        <v>24</v>
      </c>
      <c r="B102" s="46">
        <v>0</v>
      </c>
      <c r="C102" s="4">
        <v>0</v>
      </c>
      <c r="D102" s="4"/>
      <c r="E102" s="4"/>
      <c r="F102" s="4"/>
      <c r="G102" s="4"/>
      <c r="H102" s="4"/>
      <c r="I102" s="83"/>
      <c r="J102" s="4"/>
      <c r="K102" s="4"/>
      <c r="L102" s="4"/>
      <c r="M102" s="4">
        <f>+I102</f>
        <v>0</v>
      </c>
      <c r="N102" s="4"/>
      <c r="O102" s="4">
        <f>SUM(C102:N102)-8000000</f>
        <v>-8000000</v>
      </c>
      <c r="P102" s="34"/>
      <c r="Q102" s="40"/>
      <c r="R102" s="38"/>
      <c r="S102" s="2"/>
      <c r="T102" s="2"/>
    </row>
    <row r="103" spans="1:20" x14ac:dyDescent="0.25">
      <c r="A103" s="21" t="s">
        <v>25</v>
      </c>
      <c r="B103" s="109">
        <v>67000000</v>
      </c>
      <c r="C103" s="87">
        <v>4250000</v>
      </c>
      <c r="D103" s="87">
        <f>+'[9]Hoja de W esta'!$K$60</f>
        <v>4250000</v>
      </c>
      <c r="E103" s="107">
        <v>5850000</v>
      </c>
      <c r="F103" s="87">
        <f>+'[8]Planeación 2025 P&amp;K (def Mod1)'!L62</f>
        <v>5850000</v>
      </c>
      <c r="G103" s="130">
        <f>+'[8]Planeación 2025 P&amp;K (def Mod1)'!M62</f>
        <v>5850000</v>
      </c>
      <c r="H103" s="138">
        <f>+'[8]Planeación 2025 P&amp;K (def Mod1)'!N62</f>
        <v>5850000</v>
      </c>
      <c r="I103" s="142">
        <f>+'[8]Planeación 2025 P&amp;K (def Mod1)'!$O$62</f>
        <v>5850000</v>
      </c>
      <c r="J103" s="89">
        <f>+'[8]Planeación 2025 P&amp;K (def Mod1)'!$O$62</f>
        <v>5850000</v>
      </c>
      <c r="K103" s="119">
        <f>+'[8]Planeación 2025 P&amp;K (def Mod1)'!$O$62</f>
        <v>5850000</v>
      </c>
      <c r="L103" s="119">
        <f>+'[8]Planeación 2025 P&amp;K (def Mod1)'!$O$62</f>
        <v>5850000</v>
      </c>
      <c r="M103" s="152">
        <f>+'[8]Planeación 2025 P&amp;K (def Mod1)'!$O$62</f>
        <v>5850000</v>
      </c>
      <c r="N103" s="163">
        <f>+'[8]Planeación 2025 P&amp;K (def Mod1)'!$O$62</f>
        <v>5850000</v>
      </c>
      <c r="O103" s="4">
        <f>SUM(C103:N103)-7971800</f>
        <v>59028200</v>
      </c>
      <c r="P103" s="34"/>
      <c r="Q103" s="40"/>
      <c r="R103" s="38"/>
      <c r="S103" s="2"/>
      <c r="T103" s="2"/>
    </row>
    <row r="104" spans="1:20" x14ac:dyDescent="0.25">
      <c r="A104" s="21" t="s">
        <v>165</v>
      </c>
      <c r="B104" s="46">
        <v>0</v>
      </c>
      <c r="C104" s="4"/>
      <c r="D104" s="4"/>
      <c r="E104" s="4"/>
      <c r="F104" s="4"/>
      <c r="G104" s="4"/>
      <c r="H104" s="4">
        <v>0</v>
      </c>
      <c r="I104" s="4"/>
      <c r="J104" s="119">
        <v>0</v>
      </c>
      <c r="K104" s="4">
        <v>0</v>
      </c>
      <c r="L104" s="4"/>
      <c r="M104" s="130"/>
      <c r="N104" s="85">
        <v>0</v>
      </c>
      <c r="O104" s="4">
        <f>SUM(C104:N104)-31000000</f>
        <v>-31000000</v>
      </c>
      <c r="P104" s="34"/>
      <c r="Q104" s="40"/>
      <c r="R104" s="38"/>
      <c r="S104" s="2"/>
      <c r="T104" s="2"/>
    </row>
    <row r="105" spans="1:20" x14ac:dyDescent="0.25">
      <c r="A105" s="5" t="s">
        <v>60</v>
      </c>
      <c r="B105" s="109">
        <v>47711000</v>
      </c>
      <c r="C105" s="85">
        <v>3854000</v>
      </c>
      <c r="D105" s="85">
        <f>+'[9]Hoja de W esta'!$K$61</f>
        <v>3987000</v>
      </c>
      <c r="E105" s="83">
        <v>3987000</v>
      </c>
      <c r="F105" s="85">
        <f>+'[8]Planeación 2025 P&amp;K (def Mod1)'!L63</f>
        <v>3987000</v>
      </c>
      <c r="G105" s="119">
        <f>+'[8]Planeación 2025 P&amp;K (def Mod1)'!M63</f>
        <v>3987000</v>
      </c>
      <c r="H105" s="136">
        <f>+'[8]Planeación 2025 P&amp;K (def Mod1)'!N63</f>
        <v>3987000</v>
      </c>
      <c r="I105" s="127">
        <f>+'[8]Planeación 2025 P&amp;K (def Mod1)'!$O$63</f>
        <v>3987000</v>
      </c>
      <c r="J105" s="89">
        <f>+'[8]Planeación 2025 P&amp;K (def Mod1)'!$O$63</f>
        <v>3987000</v>
      </c>
      <c r="K105" s="119">
        <f>+'[8]Planeación 2025 P&amp;K (def Mod1)'!$O$63</f>
        <v>3987000</v>
      </c>
      <c r="L105" s="119">
        <f>+'[8]Planeación 2025 P&amp;K (def Mod1)'!$O$63</f>
        <v>3987000</v>
      </c>
      <c r="M105" s="154">
        <f>+'[8]Planeación 2025 P&amp;K (def Mod1)'!$O$63</f>
        <v>3987000</v>
      </c>
      <c r="N105" s="164">
        <f>+'[8]Planeación 2025 P&amp;K (def Mod1)'!$O$63</f>
        <v>3987000</v>
      </c>
      <c r="O105" s="4">
        <f t="shared" si="16"/>
        <v>47711000</v>
      </c>
      <c r="P105" s="34"/>
      <c r="Q105" s="40"/>
      <c r="R105" s="38"/>
      <c r="S105" s="2"/>
      <c r="T105" s="2"/>
    </row>
    <row r="106" spans="1:20" x14ac:dyDescent="0.25">
      <c r="A106" s="5" t="s">
        <v>26</v>
      </c>
      <c r="B106" s="4"/>
      <c r="C106" s="4"/>
      <c r="D106" s="4"/>
      <c r="E106" s="4"/>
      <c r="F106" s="120"/>
      <c r="G106" s="4"/>
      <c r="H106" s="4"/>
      <c r="I106" s="4"/>
      <c r="J106" s="4"/>
      <c r="K106" s="4"/>
      <c r="L106" s="4"/>
      <c r="M106" s="130"/>
      <c r="N106" s="4"/>
      <c r="O106" s="4">
        <f t="shared" si="16"/>
        <v>0</v>
      </c>
      <c r="P106" s="34"/>
      <c r="Q106" s="40"/>
      <c r="R106" s="38"/>
      <c r="S106" s="2"/>
      <c r="T106" s="2"/>
    </row>
    <row r="107" spans="1:20" x14ac:dyDescent="0.25">
      <c r="A107" s="5" t="s">
        <v>92</v>
      </c>
      <c r="B107" s="46">
        <v>59530000</v>
      </c>
      <c r="C107" s="109">
        <v>4750000</v>
      </c>
      <c r="D107" s="85">
        <f>+'[9]Hoja de W esta'!$K$92</f>
        <v>4750000</v>
      </c>
      <c r="E107" s="83">
        <v>7280000</v>
      </c>
      <c r="F107" s="85">
        <f>+'[8]Planeación 2025 P&amp;K (def Mod1)'!L94</f>
        <v>4750000</v>
      </c>
      <c r="G107" s="127">
        <f>+'[8]Planeación 2025 P&amp;K (def Mod1)'!M94</f>
        <v>4750000</v>
      </c>
      <c r="H107" s="136">
        <f>+'[8]Planeación 2025 P&amp;K (def Mod1)'!N94</f>
        <v>4750000</v>
      </c>
      <c r="I107" s="127">
        <f>+'[8]Planeación 2025 P&amp;K (def Mod1)'!$O$94</f>
        <v>4750000</v>
      </c>
      <c r="J107" s="89">
        <f>+'[8]Planeación 2025 P&amp;K (def Mod1)'!$O$94</f>
        <v>4750000</v>
      </c>
      <c r="K107" s="119">
        <f>+'[8]Planeación 2025 P&amp;K (def Mod1)'!$O$94</f>
        <v>4750000</v>
      </c>
      <c r="L107" s="119">
        <f>+'[8]Planeación 2025 P&amp;K (def Mod1)'!$O$94</f>
        <v>4750000</v>
      </c>
      <c r="M107" s="154">
        <f>+'[8]Planeación 2025 P&amp;K (def Mod1)'!$O$94</f>
        <v>4750000</v>
      </c>
      <c r="N107" s="164">
        <f>+'[8]Planeación 2025 P&amp;K (def Mod1)'!$O$94</f>
        <v>4750000</v>
      </c>
      <c r="O107" s="4">
        <f>SUM(C107:N107)+540122</f>
        <v>60070122</v>
      </c>
      <c r="P107" s="34"/>
      <c r="Q107" s="40"/>
      <c r="R107" s="38"/>
      <c r="S107" s="2"/>
      <c r="T107" s="2"/>
    </row>
    <row r="108" spans="1:20" x14ac:dyDescent="0.25">
      <c r="A108" s="5" t="s">
        <v>73</v>
      </c>
      <c r="B108" s="46"/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85"/>
      <c r="J108" s="89">
        <v>0</v>
      </c>
      <c r="K108" s="4">
        <v>0</v>
      </c>
      <c r="L108" s="4">
        <f t="shared" ref="L108:N108" si="27">+K108</f>
        <v>0</v>
      </c>
      <c r="M108" s="130">
        <f t="shared" si="27"/>
        <v>0</v>
      </c>
      <c r="N108" s="83">
        <f t="shared" si="27"/>
        <v>0</v>
      </c>
      <c r="O108" s="4">
        <f>SUM(C108:N108)+500000</f>
        <v>500000</v>
      </c>
      <c r="P108" s="34"/>
      <c r="Q108" s="40"/>
      <c r="R108" s="38"/>
      <c r="S108" s="2"/>
      <c r="T108" s="2"/>
    </row>
    <row r="109" spans="1:20" x14ac:dyDescent="0.25">
      <c r="A109" s="5" t="s">
        <v>27</v>
      </c>
      <c r="B109" s="109">
        <v>3000000</v>
      </c>
      <c r="C109" s="75">
        <v>1500000</v>
      </c>
      <c r="D109" s="87">
        <f>+'[9]Hoja de W esta'!$K$62</f>
        <v>1500000</v>
      </c>
      <c r="E109" s="75">
        <v>0</v>
      </c>
      <c r="F109" s="75">
        <v>0</v>
      </c>
      <c r="G109" s="75">
        <v>0</v>
      </c>
      <c r="H109" s="75">
        <v>0</v>
      </c>
      <c r="I109" s="67">
        <v>0</v>
      </c>
      <c r="J109" s="87">
        <v>0</v>
      </c>
      <c r="K109" s="67">
        <v>0</v>
      </c>
      <c r="L109" s="75">
        <v>0</v>
      </c>
      <c r="M109" s="130">
        <v>0</v>
      </c>
      <c r="N109" s="67">
        <v>0</v>
      </c>
      <c r="O109" s="4">
        <f>SUM(C109:N109)-500000</f>
        <v>2500000</v>
      </c>
      <c r="P109" s="34"/>
      <c r="Q109" s="40"/>
      <c r="R109" s="38"/>
      <c r="S109" s="2"/>
      <c r="T109" s="2"/>
    </row>
    <row r="110" spans="1:20" x14ac:dyDescent="0.25">
      <c r="A110" s="5" t="s">
        <v>74</v>
      </c>
      <c r="B110" s="46"/>
      <c r="C110" s="75">
        <v>0</v>
      </c>
      <c r="D110" s="75">
        <v>0</v>
      </c>
      <c r="E110" s="75">
        <v>0</v>
      </c>
      <c r="F110" s="75">
        <v>0</v>
      </c>
      <c r="G110" s="75">
        <v>0</v>
      </c>
      <c r="H110" s="75">
        <v>0</v>
      </c>
      <c r="I110" s="87"/>
      <c r="J110" s="90">
        <v>0</v>
      </c>
      <c r="K110" s="75">
        <v>0</v>
      </c>
      <c r="L110" s="75">
        <v>0</v>
      </c>
      <c r="M110" s="130">
        <v>0</v>
      </c>
      <c r="N110" s="107">
        <v>0</v>
      </c>
      <c r="O110" s="4">
        <f>SUM(C110:N110)+7000000</f>
        <v>7000000</v>
      </c>
      <c r="P110" s="34"/>
      <c r="Q110" s="40"/>
      <c r="R110" s="38"/>
      <c r="S110" s="2"/>
      <c r="T110" s="2"/>
    </row>
    <row r="111" spans="1:20" x14ac:dyDescent="0.25">
      <c r="A111" s="5" t="s">
        <v>28</v>
      </c>
      <c r="B111" s="109">
        <v>12000000</v>
      </c>
      <c r="C111" s="4">
        <v>0</v>
      </c>
      <c r="D111" s="4"/>
      <c r="E111" s="4"/>
      <c r="F111" s="4"/>
      <c r="G111" s="4"/>
      <c r="H111" s="4"/>
      <c r="I111" s="4"/>
      <c r="J111" s="85"/>
      <c r="K111" s="4"/>
      <c r="L111" s="51">
        <f>+'[8]Planeación 2025 P&amp;K (def Mod1)'!$R$54</f>
        <v>12000000</v>
      </c>
      <c r="M111" s="130"/>
      <c r="N111" s="4"/>
      <c r="O111" s="4">
        <f t="shared" si="16"/>
        <v>12000000</v>
      </c>
      <c r="P111" s="34"/>
      <c r="Q111" s="40"/>
      <c r="R111" s="38"/>
      <c r="S111" s="2"/>
      <c r="T111" s="2"/>
    </row>
    <row r="112" spans="1:20" x14ac:dyDescent="0.25">
      <c r="A112" s="5" t="s">
        <v>29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130"/>
      <c r="N112" s="4"/>
      <c r="O112" s="4">
        <f t="shared" si="16"/>
        <v>0</v>
      </c>
      <c r="P112" s="34"/>
      <c r="Q112" s="40"/>
      <c r="R112" s="38"/>
      <c r="S112" s="2"/>
      <c r="T112" s="2"/>
    </row>
    <row r="113" spans="1:20" x14ac:dyDescent="0.25">
      <c r="A113" s="5" t="s">
        <v>168</v>
      </c>
      <c r="B113" s="109">
        <v>27800000</v>
      </c>
      <c r="C113" s="75">
        <v>0</v>
      </c>
      <c r="D113" s="75">
        <v>0</v>
      </c>
      <c r="E113" s="107">
        <v>1200000</v>
      </c>
      <c r="F113" s="75">
        <v>0</v>
      </c>
      <c r="G113" s="130">
        <f>+'[8]Planeación 2025 P&amp;K (def Mod1)'!$M$61</f>
        <v>6000000</v>
      </c>
      <c r="H113" s="138">
        <f>+'[8]Planeación 2025 P&amp;K (def Mod1)'!$N$61</f>
        <v>1200000</v>
      </c>
      <c r="I113" s="87"/>
      <c r="J113" s="90">
        <f>+'[8]Planeación 2025 P&amp;K (def Mod1)'!$N$61</f>
        <v>1200000</v>
      </c>
      <c r="K113" s="130">
        <f>+'[11]Planeación 2024 P&amp;K'!$U$69</f>
        <v>0</v>
      </c>
      <c r="L113" s="67">
        <v>1200000</v>
      </c>
      <c r="M113" s="130">
        <v>0</v>
      </c>
      <c r="N113" s="164">
        <f>+'[8]Planeación 2025 P&amp;K (def Mod1)'!$T$61</f>
        <v>17000000</v>
      </c>
      <c r="O113" s="4">
        <f>SUM(C113:N113)+12500000</f>
        <v>40300000</v>
      </c>
      <c r="P113" s="34"/>
      <c r="Q113" s="40"/>
      <c r="R113" s="38"/>
      <c r="S113" s="2"/>
      <c r="T113" s="2"/>
    </row>
    <row r="114" spans="1:20" x14ac:dyDescent="0.25">
      <c r="A114" s="21" t="s">
        <v>138</v>
      </c>
      <c r="B114" s="46"/>
      <c r="C114" s="4"/>
      <c r="D114" s="4"/>
      <c r="E114" s="4"/>
      <c r="F114" s="4">
        <v>0</v>
      </c>
      <c r="G114" s="4">
        <v>0</v>
      </c>
      <c r="H114" s="4"/>
      <c r="I114" s="4"/>
      <c r="J114" s="51">
        <f>+'[8]Planeación 2025 P&amp;K (def Mod1)'!$P$67</f>
        <v>950000</v>
      </c>
      <c r="K114" s="4"/>
      <c r="L114" s="4"/>
      <c r="M114" s="130">
        <v>0</v>
      </c>
      <c r="N114" s="161">
        <f>+'[8]Planeación 2025 P&amp;K (def Mod1)'!$T$67</f>
        <v>950000</v>
      </c>
      <c r="O114" s="4">
        <f>SUM(C114:N114)-1150000</f>
        <v>750000</v>
      </c>
      <c r="P114" s="34"/>
      <c r="Q114" s="40"/>
      <c r="R114" s="38"/>
      <c r="S114" s="2"/>
      <c r="T114" s="2"/>
    </row>
    <row r="115" spans="1:20" x14ac:dyDescent="0.25">
      <c r="A115" s="5" t="s">
        <v>82</v>
      </c>
      <c r="B115" s="109">
        <v>7000000</v>
      </c>
      <c r="C115" s="4">
        <v>0</v>
      </c>
      <c r="D115" s="4">
        <v>0</v>
      </c>
      <c r="E115" s="83">
        <v>1400000</v>
      </c>
      <c r="F115" s="4">
        <v>0</v>
      </c>
      <c r="G115" s="119">
        <f>+'[8]Planeación 2025 P&amp;K (def Mod1)'!$M$44</f>
        <v>1400000</v>
      </c>
      <c r="H115" s="4">
        <v>0</v>
      </c>
      <c r="I115" s="127">
        <f>+'[8]Planeación 2025 P&amp;K (def Mod1)'!$O$44</f>
        <v>1400000</v>
      </c>
      <c r="J115" s="85">
        <v>0</v>
      </c>
      <c r="K115" s="119">
        <f>+'[8]Planeación 2025 P&amp;K (def Mod1)'!$O$44</f>
        <v>1400000</v>
      </c>
      <c r="L115" s="4">
        <v>0</v>
      </c>
      <c r="M115" s="152">
        <f>+'[8]Planeación 2025 P&amp;K (def Mod1)'!O44</f>
        <v>1400000</v>
      </c>
      <c r="N115" s="152">
        <f>+'[8]Planeación 2025 P&amp;K (def Mod1)'!P44</f>
        <v>0</v>
      </c>
      <c r="O115" s="4">
        <f>SUM(C115:N115)-5000000</f>
        <v>2000000</v>
      </c>
      <c r="P115" s="34"/>
      <c r="Q115" s="40"/>
      <c r="R115" s="38"/>
      <c r="S115" s="2"/>
      <c r="T115" s="2"/>
    </row>
    <row r="116" spans="1:20" x14ac:dyDescent="0.25">
      <c r="A116" s="110" t="s">
        <v>194</v>
      </c>
      <c r="B116" s="4">
        <v>300000000</v>
      </c>
      <c r="C116" s="4"/>
      <c r="D116" s="4"/>
      <c r="E116" s="4"/>
      <c r="F116" s="4"/>
      <c r="G116" s="127">
        <f>+'[8]Planeación 2025 P&amp;K (def Mod1)'!$M$157</f>
        <v>150000000</v>
      </c>
      <c r="H116" s="136">
        <f>+'[8]Planeación 2025 P&amp;K (def Mod1)'!$M$157</f>
        <v>150000000</v>
      </c>
      <c r="I116" s="4"/>
      <c r="J116" s="4"/>
      <c r="K116" s="4"/>
      <c r="L116" s="4"/>
      <c r="M116" s="4"/>
      <c r="N116" s="4"/>
      <c r="O116" s="4">
        <f t="shared" si="16"/>
        <v>300000000</v>
      </c>
      <c r="P116" s="34"/>
      <c r="Q116" s="40"/>
      <c r="R116" s="38"/>
      <c r="S116" s="2"/>
      <c r="T116" s="2"/>
    </row>
    <row r="117" spans="1:20" x14ac:dyDescent="0.25">
      <c r="A117" s="64" t="s">
        <v>93</v>
      </c>
      <c r="B117" s="46">
        <v>55200000</v>
      </c>
      <c r="C117" s="109">
        <v>4600000</v>
      </c>
      <c r="D117" s="85">
        <f>+'[8]Planeación 2025 P&amp;K (def Mod1)'!$K$92</f>
        <v>4600000</v>
      </c>
      <c r="E117" s="83">
        <v>4600000</v>
      </c>
      <c r="F117" s="85">
        <f>+'[8]Planeación 2025 P&amp;K (def Mod1)'!L92</f>
        <v>4600000</v>
      </c>
      <c r="G117" s="127">
        <f>+'[8]Planeación 2025 P&amp;K (def Mod1)'!M92</f>
        <v>4600000</v>
      </c>
      <c r="H117" s="136">
        <f>+'[8]Planeación 2025 P&amp;K (def Mod1)'!N92</f>
        <v>4600000</v>
      </c>
      <c r="I117" s="127">
        <f>+'[8]Planeación 2025 P&amp;K (def Mod1)'!$O$92</f>
        <v>4600000</v>
      </c>
      <c r="J117" s="127">
        <f>+'[8]Planeación 2025 P&amp;K (def Mod1)'!$O$92</f>
        <v>4600000</v>
      </c>
      <c r="K117" s="119">
        <f>+'[8]Planeación 2025 P&amp;K (def Mod1)'!$O$92</f>
        <v>4600000</v>
      </c>
      <c r="L117" s="119">
        <f>+'[8]Planeación 2025 P&amp;K (def Mod1)'!$O$92</f>
        <v>4600000</v>
      </c>
      <c r="M117" s="152">
        <f>+'[8]Planeación 2025 P&amp;K (def Mod1)'!$O$92</f>
        <v>4600000</v>
      </c>
      <c r="N117" s="163">
        <f>+M117</f>
        <v>4600000</v>
      </c>
      <c r="O117" s="4">
        <f>SUM(C117:N117)-400000</f>
        <v>54800000</v>
      </c>
      <c r="P117" s="34"/>
      <c r="Q117" s="40"/>
      <c r="R117" s="38"/>
      <c r="S117" s="2"/>
      <c r="T117" s="2"/>
    </row>
    <row r="118" spans="1:20" x14ac:dyDescent="0.25">
      <c r="A118" s="5" t="s">
        <v>78</v>
      </c>
      <c r="B118" s="109">
        <v>1440000</v>
      </c>
      <c r="C118" s="85">
        <v>120000</v>
      </c>
      <c r="D118" s="85">
        <v>120000</v>
      </c>
      <c r="E118" s="83">
        <v>120000</v>
      </c>
      <c r="F118" s="85">
        <f>+'[8]Planeación 2025 P&amp;K (def Mod1)'!L45</f>
        <v>120000</v>
      </c>
      <c r="G118" s="119">
        <f>+'[8]Planeación 2025 P&amp;K (def Mod1)'!M45</f>
        <v>120000</v>
      </c>
      <c r="H118" s="136">
        <f>+'[8]Planeación 2025 P&amp;K (def Mod1)'!N45</f>
        <v>120000</v>
      </c>
      <c r="I118" s="127">
        <f>+'[8]Planeación 2025 P&amp;K (def Mod1)'!$O$45</f>
        <v>120000</v>
      </c>
      <c r="J118" s="89">
        <f>+'[8]Planeación 2025 P&amp;K (def Mod1)'!$O$45</f>
        <v>120000</v>
      </c>
      <c r="K118" s="119">
        <f>+'[8]Planeación 2025 P&amp;K (def Mod1)'!$O$45</f>
        <v>120000</v>
      </c>
      <c r="L118" s="119">
        <f>+'[8]Planeación 2025 P&amp;K (def Mod1)'!$O$45</f>
        <v>120000</v>
      </c>
      <c r="M118" s="152">
        <f>+'[8]Planeación 2025 P&amp;K (def Mod1)'!$O$45</f>
        <v>120000</v>
      </c>
      <c r="N118" s="163">
        <f t="shared" ref="N118" si="28">+M118</f>
        <v>120000</v>
      </c>
      <c r="O118" s="4">
        <f t="shared" si="16"/>
        <v>1440000</v>
      </c>
      <c r="P118" s="34"/>
      <c r="Q118" s="40"/>
      <c r="R118" s="38"/>
      <c r="S118" s="2"/>
      <c r="T118" s="2"/>
    </row>
    <row r="119" spans="1:20" ht="24" x14ac:dyDescent="0.25">
      <c r="A119" s="57" t="s">
        <v>136</v>
      </c>
      <c r="B119" s="109">
        <v>32500000</v>
      </c>
      <c r="C119" s="4"/>
      <c r="D119" s="4"/>
      <c r="E119" s="4">
        <v>0</v>
      </c>
      <c r="F119" s="85">
        <f>+'[8]Planeación 2025 P&amp;K (def Mod1)'!$L$49</f>
        <v>6500000</v>
      </c>
      <c r="G119" s="4">
        <v>0</v>
      </c>
      <c r="H119" s="136">
        <f>+'[8]Planeación 2025 P&amp;K (def Mod1)'!$N$49</f>
        <v>6500000</v>
      </c>
      <c r="I119" s="85"/>
      <c r="J119" s="89">
        <f>+'[8]Planeación 2025 P&amp;K (def Mod1)'!N49</f>
        <v>6500000</v>
      </c>
      <c r="K119" s="119">
        <f>+'[8]Planeación 2025 P&amp;K (def Mod1)'!O49</f>
        <v>0</v>
      </c>
      <c r="L119" s="89">
        <f>+'[8]Planeación 2025 P&amp;K (def Mod1)'!P49</f>
        <v>6500000</v>
      </c>
      <c r="M119" s="104">
        <v>0</v>
      </c>
      <c r="N119" s="163">
        <f>+'[8]Planeación 2025 P&amp;K (def Mod1)'!$T$49</f>
        <v>6500000</v>
      </c>
      <c r="O119" s="4">
        <f>SUM(C119:N119)-12000000</f>
        <v>20500000</v>
      </c>
      <c r="P119" s="34"/>
      <c r="Q119" s="40"/>
      <c r="R119" s="38"/>
      <c r="S119" s="2"/>
      <c r="T119" s="2"/>
    </row>
    <row r="120" spans="1:20" ht="24" x14ac:dyDescent="0.25">
      <c r="A120" s="57" t="s">
        <v>137</v>
      </c>
      <c r="B120" s="46">
        <f>+'[9]Ppto2025 P&amp;K Original'!$F$48</f>
        <v>24000000</v>
      </c>
      <c r="C120" s="4"/>
      <c r="D120" s="4"/>
      <c r="E120" s="4"/>
      <c r="F120" s="4"/>
      <c r="G120" s="124">
        <f>+'[8]Planeación 2025 P&amp;K (def Mod1)'!$M$50</f>
        <v>7000000</v>
      </c>
      <c r="H120" s="4"/>
      <c r="I120" s="4">
        <v>0</v>
      </c>
      <c r="J120" s="85"/>
      <c r="K120" s="4"/>
      <c r="L120" s="4">
        <v>0</v>
      </c>
      <c r="M120" s="104"/>
      <c r="N120" s="4"/>
      <c r="O120" s="4">
        <f t="shared" si="16"/>
        <v>7000000</v>
      </c>
      <c r="P120" s="34"/>
      <c r="Q120" s="40"/>
      <c r="R120" s="38"/>
      <c r="S120" s="2"/>
      <c r="T120" s="2"/>
    </row>
    <row r="121" spans="1:20" x14ac:dyDescent="0.25">
      <c r="A121" s="73" t="s">
        <v>156</v>
      </c>
      <c r="B121" s="46">
        <v>37500000</v>
      </c>
      <c r="C121" s="4">
        <v>0</v>
      </c>
      <c r="D121" s="85">
        <f>+'[9]Hoja de W esta'!$K$91</f>
        <v>3000000</v>
      </c>
      <c r="E121" s="83">
        <v>3000000</v>
      </c>
      <c r="F121" s="85">
        <f>+'[8]Planeación 2025 P&amp;K (def Mod1)'!L93</f>
        <v>3500000</v>
      </c>
      <c r="G121" s="127">
        <f>+'[8]Planeación 2025 P&amp;K (def Mod1)'!M93</f>
        <v>3500000</v>
      </c>
      <c r="H121" s="136">
        <f>+'[8]Planeación 2025 P&amp;K (def Mod1)'!N93</f>
        <v>3500000</v>
      </c>
      <c r="I121" s="127">
        <f>+'[8]Planeación 2025 P&amp;K (def Mod1)'!$O$93</f>
        <v>3500000</v>
      </c>
      <c r="J121" s="89">
        <f>+'[8]Planeación 2025 P&amp;K (def Mod1)'!$O$93</f>
        <v>3500000</v>
      </c>
      <c r="K121" s="119">
        <f>+'[8]Planeación 2025 P&amp;K (def Mod1)'!$O$93</f>
        <v>3500000</v>
      </c>
      <c r="L121" s="119">
        <f>+'[8]Planeación 2025 P&amp;K (def Mod1)'!$O$93</f>
        <v>3500000</v>
      </c>
      <c r="M121" s="152">
        <f>+'[8]Planeación 2025 P&amp;K (def Mod1)'!$O$93</f>
        <v>3500000</v>
      </c>
      <c r="N121" s="163">
        <f>+'[8]Planeación 2025 P&amp;K (def Mod1)'!$O$93</f>
        <v>3500000</v>
      </c>
      <c r="O121" s="4">
        <f>SUM(C121:N121)-63370000</f>
        <v>-25870000</v>
      </c>
      <c r="P121" s="34"/>
      <c r="Q121" s="40"/>
      <c r="R121" s="38"/>
      <c r="S121" s="2"/>
      <c r="T121" s="2"/>
    </row>
    <row r="122" spans="1:20" x14ac:dyDescent="0.25">
      <c r="A122" s="21" t="s">
        <v>170</v>
      </c>
      <c r="B122" s="109">
        <v>31000000</v>
      </c>
      <c r="C122" s="4"/>
      <c r="D122" s="85">
        <v>0</v>
      </c>
      <c r="E122" s="83">
        <v>7000000</v>
      </c>
      <c r="F122" s="85">
        <f>+'[8]Planeación 2025 P&amp;K (def Mod1)'!$L$75</f>
        <v>3000000</v>
      </c>
      <c r="G122" s="4">
        <v>0</v>
      </c>
      <c r="H122" s="136">
        <f>+'[8]Planeación 2025 P&amp;K (def Mod1)'!$N$76</f>
        <v>7000000</v>
      </c>
      <c r="I122" s="4">
        <v>0</v>
      </c>
      <c r="J122" s="89">
        <v>0</v>
      </c>
      <c r="K122" s="119">
        <f>+'[8]Planeación 2025 P&amp;K (def Mod1)'!$Q$76</f>
        <v>7000000</v>
      </c>
      <c r="L122" s="4">
        <f>+[10]Resumennna!X342</f>
        <v>0</v>
      </c>
      <c r="M122" s="104">
        <f>+[10]Resumennna!Y342</f>
        <v>0</v>
      </c>
      <c r="N122" s="163">
        <f>+'[8]Planeación 2025 P&amp;K (def Mod1)'!$T$76</f>
        <v>7000000</v>
      </c>
      <c r="O122" s="4">
        <f>SUM(C122:N122)+320000</f>
        <v>31320000</v>
      </c>
      <c r="P122" s="34"/>
      <c r="Q122" s="40"/>
      <c r="R122" s="38"/>
      <c r="S122" s="2"/>
      <c r="T122" s="2"/>
    </row>
    <row r="123" spans="1:20" x14ac:dyDescent="0.25">
      <c r="A123" s="73" t="s">
        <v>70</v>
      </c>
      <c r="B123" s="46">
        <v>69600000</v>
      </c>
      <c r="C123" s="109">
        <v>5800000</v>
      </c>
      <c r="D123" s="85">
        <f>+'[9]Hoja de W esta'!$K$94</f>
        <v>5800000</v>
      </c>
      <c r="E123" s="83">
        <v>5800000</v>
      </c>
      <c r="F123" s="85">
        <f>+'[8]Planeación 2025 P&amp;K (def Mod1)'!L96</f>
        <v>5800000</v>
      </c>
      <c r="G123" s="127">
        <f>+'[8]Planeación 2025 P&amp;K (def Mod1)'!M96</f>
        <v>5800000</v>
      </c>
      <c r="H123" s="136">
        <f>+'[8]Planeación 2025 P&amp;K (def Mod1)'!N96</f>
        <v>5800000</v>
      </c>
      <c r="I123" s="127">
        <f>+'[8]Planeación 2025 P&amp;K (def Mod1)'!$O$96</f>
        <v>5800000</v>
      </c>
      <c r="J123" s="89">
        <f>+'[8]Planeación 2025 P&amp;K (def Mod1)'!$O$96</f>
        <v>5800000</v>
      </c>
      <c r="K123" s="119">
        <f>+'[8]Planeación 2025 P&amp;K (def Mod1)'!$O$96</f>
        <v>5800000</v>
      </c>
      <c r="L123" s="119">
        <f>+'[8]Planeación 2025 P&amp;K (def Mod1)'!$O$96</f>
        <v>5800000</v>
      </c>
      <c r="M123" s="152">
        <f>+'[8]Planeación 2025 P&amp;K (def Mod1)'!$O$96</f>
        <v>5800000</v>
      </c>
      <c r="N123" s="163">
        <f>+M123</f>
        <v>5800000</v>
      </c>
      <c r="O123" s="4">
        <f>SUM(C123:N123)+7456000</f>
        <v>77056000</v>
      </c>
      <c r="P123" s="34"/>
      <c r="Q123" s="40"/>
      <c r="R123" s="38"/>
      <c r="S123" s="2"/>
      <c r="T123" s="2"/>
    </row>
    <row r="124" spans="1:20" x14ac:dyDescent="0.25">
      <c r="A124" s="21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>
        <f t="shared" si="16"/>
        <v>0</v>
      </c>
      <c r="P124" s="34"/>
      <c r="Q124" s="40"/>
      <c r="R124" s="38"/>
      <c r="S124" s="2"/>
      <c r="T124" s="2"/>
    </row>
    <row r="125" spans="1:20" x14ac:dyDescent="0.25">
      <c r="A125" s="21" t="s">
        <v>157</v>
      </c>
      <c r="B125" s="46"/>
      <c r="C125" s="4"/>
      <c r="D125" s="4"/>
      <c r="E125" s="4"/>
      <c r="F125" s="66">
        <v>0</v>
      </c>
      <c r="G125" s="66">
        <v>0</v>
      </c>
      <c r="H125" s="66">
        <v>0</v>
      </c>
      <c r="I125" s="66">
        <v>0</v>
      </c>
      <c r="J125" s="65">
        <v>0</v>
      </c>
      <c r="K125" s="65">
        <v>0</v>
      </c>
      <c r="L125" s="65">
        <v>0</v>
      </c>
      <c r="M125" s="65">
        <v>0</v>
      </c>
      <c r="N125" s="65">
        <v>0</v>
      </c>
      <c r="O125" s="4">
        <f t="shared" si="16"/>
        <v>0</v>
      </c>
      <c r="P125" s="34"/>
      <c r="Q125" s="40"/>
      <c r="R125" s="38"/>
      <c r="S125" s="2"/>
      <c r="T125" s="2"/>
    </row>
    <row r="126" spans="1:20" x14ac:dyDescent="0.25">
      <c r="A126" s="21" t="s">
        <v>158</v>
      </c>
      <c r="B126" s="46"/>
      <c r="C126" s="4"/>
      <c r="D126" s="4"/>
      <c r="E126" s="66">
        <v>0</v>
      </c>
      <c r="F126" s="66">
        <v>0</v>
      </c>
      <c r="G126" s="66">
        <v>0</v>
      </c>
      <c r="H126" s="66">
        <v>0</v>
      </c>
      <c r="I126" s="66">
        <v>0</v>
      </c>
      <c r="J126" s="65">
        <v>0</v>
      </c>
      <c r="K126" s="65">
        <v>0</v>
      </c>
      <c r="L126" s="65">
        <v>0</v>
      </c>
      <c r="M126" s="104">
        <f>+F126</f>
        <v>0</v>
      </c>
      <c r="N126" s="65">
        <v>0</v>
      </c>
      <c r="O126" s="4">
        <f t="shared" si="16"/>
        <v>0</v>
      </c>
      <c r="P126" s="34"/>
      <c r="Q126" s="40"/>
      <c r="R126" s="38"/>
      <c r="S126" s="2"/>
      <c r="T126" s="2"/>
    </row>
    <row r="127" spans="1:20" x14ac:dyDescent="0.25">
      <c r="A127" s="21" t="s">
        <v>159</v>
      </c>
      <c r="B127" s="46"/>
      <c r="C127" s="4"/>
      <c r="D127" s="4"/>
      <c r="E127" s="66">
        <v>0</v>
      </c>
      <c r="F127" s="66">
        <v>0</v>
      </c>
      <c r="G127" s="66">
        <v>0</v>
      </c>
      <c r="H127" s="66">
        <v>0</v>
      </c>
      <c r="I127" s="66">
        <v>0</v>
      </c>
      <c r="J127" s="65">
        <v>0</v>
      </c>
      <c r="K127" s="66">
        <v>0</v>
      </c>
      <c r="L127" s="65">
        <v>0</v>
      </c>
      <c r="M127" s="65">
        <v>0</v>
      </c>
      <c r="N127" s="86">
        <v>0</v>
      </c>
      <c r="O127" s="4">
        <f>SUM(C127:N127)-2500000</f>
        <v>-2500000</v>
      </c>
      <c r="P127" s="34"/>
      <c r="Q127" s="40"/>
      <c r="R127" s="38"/>
      <c r="S127" s="2"/>
      <c r="T127" s="2"/>
    </row>
    <row r="128" spans="1:20" x14ac:dyDescent="0.25">
      <c r="A128" s="21" t="s">
        <v>160</v>
      </c>
      <c r="B128" s="46">
        <v>8000000</v>
      </c>
      <c r="C128" s="4"/>
      <c r="D128" s="4"/>
      <c r="E128" s="4"/>
      <c r="F128" s="4"/>
      <c r="G128" s="126">
        <f>+'[8]Planeación 2025 P&amp;K (def Mod1)'!$M$36</f>
        <v>8000000</v>
      </c>
      <c r="H128" s="66">
        <v>0</v>
      </c>
      <c r="I128" s="66">
        <v>0</v>
      </c>
      <c r="J128" s="4"/>
      <c r="K128" s="4"/>
      <c r="L128" s="4"/>
      <c r="M128" s="4"/>
      <c r="N128" s="4"/>
      <c r="O128" s="4">
        <f t="shared" si="16"/>
        <v>8000000</v>
      </c>
      <c r="P128" s="34"/>
      <c r="Q128" s="40"/>
      <c r="R128" s="38"/>
      <c r="S128" s="2"/>
      <c r="T128" s="2"/>
    </row>
    <row r="129" spans="1:20" x14ac:dyDescent="0.25">
      <c r="A129" s="21" t="s">
        <v>161</v>
      </c>
      <c r="B129" s="46">
        <v>8000000</v>
      </c>
      <c r="C129" s="4"/>
      <c r="D129" s="4"/>
      <c r="E129" s="4"/>
      <c r="F129" s="4"/>
      <c r="G129" s="126">
        <f>+'[8]Planeación 2025 P&amp;K (def Mod1)'!$M$37</f>
        <v>8000000</v>
      </c>
      <c r="H129" s="66">
        <v>0</v>
      </c>
      <c r="I129" s="66">
        <v>0</v>
      </c>
      <c r="J129" s="4"/>
      <c r="K129" s="4"/>
      <c r="L129" s="4"/>
      <c r="M129" s="4"/>
      <c r="N129" s="4"/>
      <c r="O129" s="4">
        <f t="shared" si="16"/>
        <v>8000000</v>
      </c>
      <c r="P129" s="34"/>
      <c r="Q129" s="40"/>
      <c r="R129" s="38"/>
      <c r="S129" s="2"/>
      <c r="T129" s="2"/>
    </row>
    <row r="130" spans="1:20" x14ac:dyDescent="0.25">
      <c r="A130" s="21" t="s">
        <v>162</v>
      </c>
      <c r="B130" s="46">
        <v>8000000</v>
      </c>
      <c r="C130" s="4"/>
      <c r="D130" s="4"/>
      <c r="E130" s="4"/>
      <c r="F130" s="4"/>
      <c r="G130" s="126">
        <f>+'[8]Planeación 2025 P&amp;K (def Mod1)'!$M$38</f>
        <v>8000000</v>
      </c>
      <c r="H130" s="66">
        <v>0</v>
      </c>
      <c r="I130" s="66">
        <v>0</v>
      </c>
      <c r="J130" s="4"/>
      <c r="K130" s="4"/>
      <c r="L130" s="4"/>
      <c r="M130" s="4"/>
      <c r="N130" s="4"/>
      <c r="O130" s="4">
        <f t="shared" si="16"/>
        <v>8000000</v>
      </c>
      <c r="P130" s="34"/>
      <c r="Q130" s="40"/>
      <c r="R130" s="38"/>
      <c r="S130" s="2"/>
      <c r="T130" s="2"/>
    </row>
    <row r="131" spans="1:20" x14ac:dyDescent="0.25">
      <c r="A131" s="21" t="s">
        <v>163</v>
      </c>
      <c r="B131" s="46">
        <v>8000000</v>
      </c>
      <c r="C131" s="4"/>
      <c r="D131" s="4"/>
      <c r="E131" s="4"/>
      <c r="F131" s="4"/>
      <c r="G131" s="66">
        <v>0</v>
      </c>
      <c r="H131" s="66">
        <v>0</v>
      </c>
      <c r="I131" s="141">
        <f>+'[8]Planeación 2025 P&amp;K (def Mod1)'!$O$39</f>
        <v>4000000</v>
      </c>
      <c r="J131" s="4"/>
      <c r="K131" s="4"/>
      <c r="L131" s="4"/>
      <c r="M131" s="4"/>
      <c r="N131" s="165">
        <f>+'[8]Planeación 2025 P&amp;K (def Mod1)'!$T$39</f>
        <v>4000000</v>
      </c>
      <c r="O131" s="4">
        <f>SUM(C131:N131)-20000000</f>
        <v>-12000000</v>
      </c>
      <c r="P131" s="34"/>
      <c r="Q131" s="40"/>
      <c r="R131" s="38"/>
      <c r="S131" s="2"/>
      <c r="T131" s="2"/>
    </row>
    <row r="132" spans="1:20" ht="30" x14ac:dyDescent="0.25">
      <c r="A132" s="21" t="s">
        <v>164</v>
      </c>
      <c r="B132" s="4">
        <v>700000000</v>
      </c>
      <c r="C132" s="4"/>
      <c r="D132" s="4"/>
      <c r="E132" s="4"/>
      <c r="F132" s="4"/>
      <c r="G132" s="4"/>
      <c r="H132" s="4"/>
      <c r="I132" s="4"/>
      <c r="J132" s="4"/>
      <c r="K132" s="129">
        <f>+'[8]Planeación 2025 P&amp;K (def Mod1)'!$Q$40</f>
        <v>350000000</v>
      </c>
      <c r="L132" s="4"/>
      <c r="M132" s="129">
        <f>+'[8]Planeación 2025 P&amp;K (def Mod1)'!$S$40</f>
        <v>350000000</v>
      </c>
      <c r="N132" s="4"/>
      <c r="O132" s="4">
        <f t="shared" si="16"/>
        <v>700000000</v>
      </c>
      <c r="P132" s="34"/>
      <c r="Q132" s="40"/>
      <c r="R132" s="38"/>
      <c r="S132" s="2"/>
      <c r="T132" s="2"/>
    </row>
    <row r="133" spans="1:20" x14ac:dyDescent="0.25">
      <c r="A133" s="111" t="s">
        <v>197</v>
      </c>
      <c r="B133" s="4">
        <v>12000000</v>
      </c>
      <c r="C133" s="4"/>
      <c r="D133" s="4"/>
      <c r="E133" s="4">
        <v>2400000</v>
      </c>
      <c r="F133" s="4"/>
      <c r="G133" s="125">
        <f>+'[8]Planeación 2025 P&amp;K (def Mod1)'!$M$41</f>
        <v>2000000</v>
      </c>
      <c r="H133" s="136">
        <f>+'[8]Planeación 2025 P&amp;K (def Mod1)'!$N$41</f>
        <v>2000000</v>
      </c>
      <c r="I133" s="51">
        <f>+'[8]Planeación 2025 P&amp;K (def Mod1)'!$O$41</f>
        <v>2000000</v>
      </c>
      <c r="J133" s="89">
        <f>+'[8]Planeación 2025 P&amp;K (def Mod1)'!$O$41</f>
        <v>2000000</v>
      </c>
      <c r="K133" s="119">
        <f>+'[8]Planeación 2025 P&amp;K (def Mod1)'!$Q$41</f>
        <v>1600000</v>
      </c>
      <c r="L133" s="4"/>
      <c r="M133" s="4"/>
      <c r="N133" s="4"/>
      <c r="O133" s="4">
        <f>SUM(C133:N133)-15000000</f>
        <v>-3000000</v>
      </c>
      <c r="P133" s="34"/>
      <c r="Q133" s="40"/>
      <c r="R133" s="38"/>
      <c r="S133" s="2"/>
      <c r="T133" s="2"/>
    </row>
    <row r="134" spans="1:20" x14ac:dyDescent="0.25">
      <c r="A134" s="21" t="s">
        <v>33</v>
      </c>
      <c r="B134" s="109">
        <v>4600000</v>
      </c>
      <c r="C134" s="4">
        <v>0</v>
      </c>
      <c r="D134" s="85">
        <f>+'[9]Hoja de W esta'!$K$44</f>
        <v>450000</v>
      </c>
      <c r="E134" s="83">
        <v>450000</v>
      </c>
      <c r="F134" s="85">
        <f>+'[8]Planeación 2025 P&amp;K (def Mod1)'!L46</f>
        <v>450000</v>
      </c>
      <c r="G134" s="119">
        <f>+'[8]Planeación 2025 P&amp;K (def Mod1)'!M46</f>
        <v>450000</v>
      </c>
      <c r="H134" s="136">
        <f>+'[8]Planeación 2025 P&amp;K (def Mod1)'!N46</f>
        <v>400000</v>
      </c>
      <c r="I134" s="144">
        <f>+'[8]Planeación 2025 P&amp;K (def Mod1)'!$O$46</f>
        <v>400000</v>
      </c>
      <c r="J134" s="89">
        <f>+'[8]Planeación 2025 P&amp;K (def Mod1)'!$O$46</f>
        <v>400000</v>
      </c>
      <c r="K134" s="119">
        <f>+'[8]Planeación 2025 P&amp;K (def Mod1)'!$O$46</f>
        <v>400000</v>
      </c>
      <c r="L134" s="119">
        <f>+'[8]Planeación 2025 P&amp;K (def Mod1)'!$O$46</f>
        <v>400000</v>
      </c>
      <c r="M134" s="152">
        <f>+'[8]Planeación 2025 P&amp;K (def Mod1)'!$O$46</f>
        <v>400000</v>
      </c>
      <c r="N134" s="163">
        <f t="shared" ref="N134" si="29">+M134</f>
        <v>400000</v>
      </c>
      <c r="O134" s="4">
        <f>SUM(C134:N134)-872000</f>
        <v>3728000</v>
      </c>
      <c r="P134" s="34"/>
      <c r="Q134" s="40"/>
      <c r="R134" s="38"/>
      <c r="S134" s="2"/>
      <c r="T134" s="2"/>
    </row>
    <row r="135" spans="1:20" x14ac:dyDescent="0.25">
      <c r="A135" s="73" t="s">
        <v>75</v>
      </c>
      <c r="B135" s="4">
        <v>0</v>
      </c>
      <c r="C135" s="4">
        <v>0</v>
      </c>
      <c r="D135" s="4"/>
      <c r="E135" s="4">
        <v>0</v>
      </c>
      <c r="F135" s="85">
        <v>0</v>
      </c>
      <c r="G135" s="66">
        <v>0</v>
      </c>
      <c r="H135" s="66">
        <v>0</v>
      </c>
      <c r="I135" s="84"/>
      <c r="J135" s="91">
        <v>0</v>
      </c>
      <c r="K135" s="66">
        <v>0</v>
      </c>
      <c r="L135" s="86">
        <v>0</v>
      </c>
      <c r="M135" s="65">
        <v>0</v>
      </c>
      <c r="N135" s="86">
        <v>0</v>
      </c>
      <c r="O135" s="4">
        <f>SUM(C135:N135)-14400000</f>
        <v>-14400000</v>
      </c>
      <c r="P135" s="34"/>
      <c r="Q135" s="40"/>
      <c r="R135" s="38"/>
      <c r="S135" s="2"/>
      <c r="T135" s="2"/>
    </row>
    <row r="136" spans="1:20" x14ac:dyDescent="0.25">
      <c r="A136" s="21" t="s">
        <v>68</v>
      </c>
      <c r="B136" s="109">
        <v>60000000</v>
      </c>
      <c r="C136" s="85">
        <v>5000000</v>
      </c>
      <c r="D136" s="85">
        <f>+'[9]Hoja de W esta'!$K$50</f>
        <v>5000000</v>
      </c>
      <c r="E136" s="83">
        <v>5000000</v>
      </c>
      <c r="F136" s="85">
        <f>+'[8]Planeación 2025 P&amp;K (def Mod1)'!L52</f>
        <v>5000000</v>
      </c>
      <c r="G136" s="119">
        <f>+'[8]Planeación 2025 P&amp;K (def Mod1)'!M52</f>
        <v>5000000</v>
      </c>
      <c r="H136" s="136">
        <f>+'[8]Planeación 2025 P&amp;K (def Mod1)'!N52</f>
        <v>5000000</v>
      </c>
      <c r="I136" s="127">
        <f>+'[8]Planeación 2025 P&amp;K (def Mod1)'!$O$52</f>
        <v>5000000</v>
      </c>
      <c r="J136" s="89">
        <f>+'[8]Planeación 2025 P&amp;K (def Mod1)'!$O$52</f>
        <v>5000000</v>
      </c>
      <c r="K136" s="119">
        <f>+'[8]Planeación 2025 P&amp;K (def Mod1)'!$O$52</f>
        <v>5000000</v>
      </c>
      <c r="L136" s="119">
        <f>+'[8]Planeación 2025 P&amp;K (def Mod1)'!$O$52</f>
        <v>5000000</v>
      </c>
      <c r="M136" s="152">
        <f>+'[8]Planeación 2025 P&amp;K (def Mod1)'!$O$52</f>
        <v>5000000</v>
      </c>
      <c r="N136" s="163">
        <f t="shared" ref="N136" si="30">+M136</f>
        <v>5000000</v>
      </c>
      <c r="O136" s="4">
        <f t="shared" si="16"/>
        <v>60000000</v>
      </c>
      <c r="P136" s="34"/>
      <c r="Q136" s="40"/>
      <c r="R136" s="38"/>
      <c r="S136" s="2"/>
      <c r="T136" s="2"/>
    </row>
    <row r="137" spans="1:20" x14ac:dyDescent="0.25">
      <c r="A137" s="21" t="s">
        <v>86</v>
      </c>
      <c r="B137" s="46">
        <v>0</v>
      </c>
      <c r="C137" s="4"/>
      <c r="D137" s="85">
        <f>+'[9]Hoja de W esta'!$K$145</f>
        <v>2750000</v>
      </c>
      <c r="E137" s="83">
        <v>2750000</v>
      </c>
      <c r="F137" s="85">
        <f>+'[8]Planeación 2025 P&amp;K (def Mod1)'!L147</f>
        <v>2750000</v>
      </c>
      <c r="G137" s="83">
        <f>+'[8]Planeación 2025 P&amp;K (def Mod1)'!M147</f>
        <v>2750000</v>
      </c>
      <c r="H137" s="136">
        <f>+'[8]Planeación 2025 P&amp;K (def Mod1)'!N147</f>
        <v>2750000</v>
      </c>
      <c r="I137" s="127">
        <f>+'[8]Planeación 2025 P&amp;K (def Mod1)'!$O$147+150000</f>
        <v>2900000</v>
      </c>
      <c r="J137" s="89">
        <f>+'[8]Planeación 2025 P&amp;K (def Mod1)'!$P$147</f>
        <v>2750000</v>
      </c>
      <c r="K137" s="119">
        <f>+'[8]Planeación 2025 P&amp;K (def Mod1)'!$P$147</f>
        <v>2750000</v>
      </c>
      <c r="L137" s="119">
        <f>+'[8]Planeación 2025 P&amp;K (def Mod1)'!$P$147</f>
        <v>2750000</v>
      </c>
      <c r="M137" s="152">
        <f>+'[8]Planeación 2025 P&amp;K (def Mod1)'!$P$147</f>
        <v>2750000</v>
      </c>
      <c r="N137" s="163">
        <f>+'[8]Planeación 2025 P&amp;K (def Mod1)'!$P$147</f>
        <v>2750000</v>
      </c>
      <c r="O137" s="4">
        <f t="shared" si="16"/>
        <v>30400000</v>
      </c>
      <c r="P137" s="34"/>
      <c r="Q137" s="40"/>
      <c r="R137" s="38"/>
      <c r="S137" s="2"/>
      <c r="T137" s="2"/>
    </row>
    <row r="138" spans="1:20" x14ac:dyDescent="0.25">
      <c r="A138" s="73" t="s">
        <v>108</v>
      </c>
      <c r="B138" s="46">
        <v>8000000</v>
      </c>
      <c r="C138" s="4"/>
      <c r="D138" s="79"/>
      <c r="E138" s="4">
        <v>0</v>
      </c>
      <c r="F138" s="4">
        <v>0</v>
      </c>
      <c r="G138" s="125">
        <f>+'[8]Planeación 2025 P&amp;K (def Mod1)'!$M$35</f>
        <v>4000000</v>
      </c>
      <c r="H138" s="4">
        <v>0</v>
      </c>
      <c r="I138" s="85"/>
      <c r="J138" s="94">
        <v>0</v>
      </c>
      <c r="K138" s="119">
        <v>0</v>
      </c>
      <c r="L138" s="147">
        <f>+'[8]Planeación 2025 P&amp;K (def Mod1)'!$R$35</f>
        <v>4000000</v>
      </c>
      <c r="M138" s="104">
        <v>0</v>
      </c>
      <c r="N138" s="85">
        <v>0</v>
      </c>
      <c r="O138" s="4">
        <f>SUM(C138:N138)-6500000</f>
        <v>1500000</v>
      </c>
      <c r="P138" s="34"/>
      <c r="Q138" s="40"/>
      <c r="R138" s="38"/>
      <c r="S138" s="2"/>
      <c r="T138" s="2"/>
    </row>
    <row r="139" spans="1:20" x14ac:dyDescent="0.25">
      <c r="A139" s="5" t="s">
        <v>76</v>
      </c>
      <c r="B139" s="109">
        <v>7200000</v>
      </c>
      <c r="C139" s="4">
        <v>0</v>
      </c>
      <c r="D139" s="79"/>
      <c r="E139" s="79">
        <v>0</v>
      </c>
      <c r="F139" s="122">
        <f>+'[8]Planeación 2025 P&amp;K (def Mod1)'!L68</f>
        <v>800000</v>
      </c>
      <c r="G139" s="132">
        <f>+'[8]Planeación 2025 P&amp;K (def Mod1)'!M68</f>
        <v>800000</v>
      </c>
      <c r="H139" s="140">
        <f>+'[8]Planeación 2025 P&amp;K (def Mod1)'!N68</f>
        <v>800000</v>
      </c>
      <c r="I139" s="127">
        <f>+'[8]Planeación 2025 P&amp;K (def Mod1)'!$O$68</f>
        <v>800000</v>
      </c>
      <c r="J139" s="89">
        <f>+'[8]Planeación 2025 P&amp;K (def Mod1)'!$P$68</f>
        <v>800000</v>
      </c>
      <c r="K139" s="119">
        <f>+'[8]Planeación 2025 P&amp;K (def Mod1)'!$P$68</f>
        <v>800000</v>
      </c>
      <c r="L139" s="147">
        <f>+'[8]Planeación 2025 P&amp;K (def Mod1)'!$P$68</f>
        <v>800000</v>
      </c>
      <c r="M139" s="152">
        <f>+'[8]Planeación 2025 P&amp;K (def Mod1)'!$P$68</f>
        <v>800000</v>
      </c>
      <c r="N139" s="163">
        <f>+'[8]Planeación 2025 P&amp;K (def Mod1)'!$P$68</f>
        <v>800000</v>
      </c>
      <c r="O139" s="4">
        <f>SUM(C139:N139)-10000000</f>
        <v>-2800000</v>
      </c>
      <c r="P139" s="34"/>
      <c r="Q139" s="40"/>
      <c r="R139" s="38"/>
      <c r="S139" s="2"/>
      <c r="T139" s="2"/>
    </row>
    <row r="140" spans="1:20" x14ac:dyDescent="0.25">
      <c r="A140" s="5" t="s">
        <v>198</v>
      </c>
      <c r="B140" s="4">
        <v>752695959</v>
      </c>
      <c r="C140" s="4">
        <v>0</v>
      </c>
      <c r="D140" s="4"/>
      <c r="E140" s="4">
        <v>0</v>
      </c>
      <c r="F140" s="85">
        <f>+'[8]Planeación 2025 P&amp;K (def Mod1)'!$L$159</f>
        <v>90000000</v>
      </c>
      <c r="G140" s="4">
        <v>0</v>
      </c>
      <c r="H140" s="133">
        <v>0</v>
      </c>
      <c r="I140" s="4">
        <v>0</v>
      </c>
      <c r="J140" s="89">
        <v>0</v>
      </c>
      <c r="K140" s="4">
        <f>+[10]Resumennna!W318</f>
        <v>0</v>
      </c>
      <c r="L140" s="4">
        <f>+[10]Resumennna!X318</f>
        <v>0</v>
      </c>
      <c r="M140" s="104">
        <v>0</v>
      </c>
      <c r="N140" s="4">
        <f>+[10]Resumennna!Z318</f>
        <v>0</v>
      </c>
      <c r="O140" s="4">
        <f t="shared" si="16"/>
        <v>90000000</v>
      </c>
      <c r="P140" s="34"/>
      <c r="Q140" s="40"/>
      <c r="R140" s="38"/>
      <c r="S140" s="2"/>
      <c r="T140" s="2"/>
    </row>
    <row r="141" spans="1:20" x14ac:dyDescent="0.25">
      <c r="A141" s="5" t="s">
        <v>135</v>
      </c>
      <c r="B141" s="109">
        <v>105600000</v>
      </c>
      <c r="C141" s="85">
        <v>6800000</v>
      </c>
      <c r="D141" s="85">
        <f>+'[9]Hoja de W esta'!$K$45</f>
        <v>6800000</v>
      </c>
      <c r="E141" s="83">
        <v>6800000</v>
      </c>
      <c r="F141" s="85">
        <f>+'[8]Planeación 2025 P&amp;K (def Mod1)'!L47+'[8]Planeación 2025 P&amp;K (def Mod1)'!L48</f>
        <v>18800000</v>
      </c>
      <c r="G141" s="119">
        <f>+'[8]Planeación 2025 P&amp;K (def Mod1)'!M47+'[8]Planeación 2025 P&amp;K (def Mod1)'!M48</f>
        <v>6800000</v>
      </c>
      <c r="H141" s="136">
        <f>+'[8]Planeación 2025 P&amp;K (def Mod1)'!N47+'[8]Planeación 2025 P&amp;K (def Mod1)'!N48</f>
        <v>6800000</v>
      </c>
      <c r="I141" s="127">
        <f>+'[8]Planeación 2025 P&amp;K (def Mod1)'!$O$47</f>
        <v>6800000</v>
      </c>
      <c r="J141" s="89">
        <f>+'[8]Planeación 2025 P&amp;K (def Mod1)'!$O$47</f>
        <v>6800000</v>
      </c>
      <c r="K141" s="119">
        <f>+'[8]Planeación 2025 P&amp;K (def Mod1)'!$O$47</f>
        <v>6800000</v>
      </c>
      <c r="L141" s="147">
        <f>+'[8]Planeación 2025 P&amp;K (def Mod1)'!$O$47</f>
        <v>6800000</v>
      </c>
      <c r="M141" s="152">
        <f>+'[8]Planeación 2025 P&amp;K (def Mod1)'!$O$47+'[8]Planeación 2025 P&amp;K (def Mod1)'!$S$48</f>
        <v>9800000</v>
      </c>
      <c r="N141" s="163">
        <f>+'[8]Planeación 2025 P&amp;K (def Mod1)'!$O$47+'[8]Planeación 2025 P&amp;K (def Mod1)'!$S$48</f>
        <v>9800000</v>
      </c>
      <c r="O141" s="4">
        <f>SUM(C141:N141)-19662000</f>
        <v>79938000</v>
      </c>
      <c r="P141" s="34"/>
      <c r="Q141" s="40"/>
      <c r="R141" s="38"/>
      <c r="S141" s="2"/>
      <c r="T141" s="2"/>
    </row>
    <row r="142" spans="1:20" x14ac:dyDescent="0.25">
      <c r="A142" s="5" t="s">
        <v>83</v>
      </c>
      <c r="B142" s="109">
        <v>1200000</v>
      </c>
      <c r="C142" s="85">
        <v>100000</v>
      </c>
      <c r="D142" s="85">
        <f>+'[9]Hoja de W esta'!$K$49</f>
        <v>100000</v>
      </c>
      <c r="E142" s="83">
        <v>100000</v>
      </c>
      <c r="F142" s="85">
        <f>+'[8]Planeación 2025 P&amp;K (def Mod1)'!L51</f>
        <v>100000</v>
      </c>
      <c r="G142" s="119">
        <f>+'[8]Planeación 2025 P&amp;K (def Mod1)'!M51</f>
        <v>100000</v>
      </c>
      <c r="H142" s="136">
        <f>+'[8]Planeación 2025 P&amp;K (def Mod1)'!N51</f>
        <v>100000</v>
      </c>
      <c r="I142" s="127">
        <f>+'[8]Planeación 2025 P&amp;K (def Mod1)'!$O$51</f>
        <v>100000</v>
      </c>
      <c r="J142" s="89">
        <f>+'[8]Planeación 2025 P&amp;K (def Mod1)'!$O$51</f>
        <v>100000</v>
      </c>
      <c r="K142" s="119">
        <f>+'[8]Planeación 2025 P&amp;K (def Mod1)'!$O$51</f>
        <v>100000</v>
      </c>
      <c r="L142" s="147">
        <f>+'[8]Planeación 2025 P&amp;K (def Mod1)'!$O$51</f>
        <v>100000</v>
      </c>
      <c r="M142" s="152">
        <f>+'[8]Planeación 2025 P&amp;K (def Mod1)'!$O$51</f>
        <v>100000</v>
      </c>
      <c r="N142" s="163">
        <f t="shared" ref="N142" si="31">+M142</f>
        <v>100000</v>
      </c>
      <c r="O142" s="4">
        <f t="shared" si="16"/>
        <v>1200000</v>
      </c>
      <c r="P142" s="34"/>
      <c r="Q142" s="40"/>
      <c r="R142" s="38"/>
      <c r="S142" s="2"/>
      <c r="T142" s="2"/>
    </row>
    <row r="143" spans="1:20" x14ac:dyDescent="0.25">
      <c r="A143" s="5" t="s">
        <v>56</v>
      </c>
      <c r="B143" s="46">
        <v>0</v>
      </c>
      <c r="C143" s="4"/>
      <c r="D143" s="4">
        <v>0</v>
      </c>
      <c r="E143" s="83">
        <v>1500000</v>
      </c>
      <c r="F143" s="85">
        <f>+'[8]Planeación 2025 P&amp;K (def Mod1)'!L148</f>
        <v>1500000</v>
      </c>
      <c r="G143" s="83">
        <f>+'[8]Planeación 2025 P&amp;K (def Mod1)'!M148</f>
        <v>1500000</v>
      </c>
      <c r="H143" s="136">
        <f>+'[8]Planeación 2025 P&amp;K (def Mod1)'!N148</f>
        <v>1500000</v>
      </c>
      <c r="I143" s="127">
        <f>+'[8]Planeación 2025 P&amp;K (def Mod1)'!$O$148</f>
        <v>1500000</v>
      </c>
      <c r="J143" s="89">
        <f>+'[8]Planeación 2025 P&amp;K (def Mod1)'!$O$148</f>
        <v>1500000</v>
      </c>
      <c r="K143" s="119">
        <f>+'[8]Planeación 2025 P&amp;K (def Mod1)'!$O$148</f>
        <v>1500000</v>
      </c>
      <c r="L143" s="147">
        <f>+'[8]Planeación 2025 P&amp;K (def Mod1)'!$O$148</f>
        <v>1500000</v>
      </c>
      <c r="M143" s="152">
        <f>+'[8]Planeación 2025 P&amp;K (def Mod1)'!$O$148</f>
        <v>1500000</v>
      </c>
      <c r="N143" s="163">
        <f>+'[8]Planeación 2025 P&amp;K (def Mod1)'!$O$148</f>
        <v>1500000</v>
      </c>
      <c r="O143" s="4">
        <f t="shared" si="16"/>
        <v>15000000</v>
      </c>
      <c r="P143" s="34"/>
      <c r="Q143" s="40"/>
      <c r="R143" s="38"/>
      <c r="S143" s="2"/>
      <c r="T143" s="2"/>
    </row>
    <row r="144" spans="1:20" x14ac:dyDescent="0.25">
      <c r="A144" s="5" t="s">
        <v>38</v>
      </c>
      <c r="B144" s="109">
        <v>34164000</v>
      </c>
      <c r="C144" s="85">
        <v>2847000</v>
      </c>
      <c r="D144" s="85">
        <v>2847000</v>
      </c>
      <c r="E144" s="85">
        <v>2847000</v>
      </c>
      <c r="F144" s="85">
        <f>+'[8]Planeación 2025 P&amp;K (def Mod1)'!L42</f>
        <v>2847000</v>
      </c>
      <c r="G144" s="119">
        <f>+'[8]Planeación 2025 P&amp;K (def Mod1)'!M42</f>
        <v>2847000</v>
      </c>
      <c r="H144" s="136">
        <f>+'[8]Planeación 2025 P&amp;K (def Mod1)'!N42</f>
        <v>2847000</v>
      </c>
      <c r="I144" s="120">
        <f>+'[8]Planeación 2025 P&amp;K (def Mod1)'!O42</f>
        <v>2847000</v>
      </c>
      <c r="J144" s="89">
        <f>+'[8]Planeación 2025 P&amp;K (def Mod1)'!P42</f>
        <v>2847000</v>
      </c>
      <c r="K144" s="119">
        <f>+'[8]Planeación 2025 P&amp;K (def Mod1)'!Q42</f>
        <v>2847000</v>
      </c>
      <c r="L144" s="147">
        <f>+'[8]Planeación 2025 P&amp;K (def Mod1)'!R42</f>
        <v>2847000</v>
      </c>
      <c r="M144" s="152">
        <f>+'[8]Planeación 2025 P&amp;K (def Mod1)'!S42</f>
        <v>2847000</v>
      </c>
      <c r="N144" s="163">
        <f t="shared" ref="N144:N145" si="32">+M144</f>
        <v>2847000</v>
      </c>
      <c r="O144" s="4">
        <f t="shared" si="16"/>
        <v>34164000</v>
      </c>
      <c r="P144" s="34"/>
      <c r="Q144" s="40"/>
      <c r="R144" s="38"/>
      <c r="S144" s="2"/>
      <c r="T144" s="2"/>
    </row>
    <row r="145" spans="1:23" x14ac:dyDescent="0.25">
      <c r="A145" s="5" t="s">
        <v>39</v>
      </c>
      <c r="B145" s="109">
        <v>196934400</v>
      </c>
      <c r="C145" s="85">
        <v>16411200</v>
      </c>
      <c r="D145" s="85">
        <v>16411200</v>
      </c>
      <c r="E145" s="85">
        <v>16411200</v>
      </c>
      <c r="F145" s="85">
        <f>+'[8]Planeación 2025 P&amp;K (def Mod1)'!L43</f>
        <v>16411200</v>
      </c>
      <c r="G145" s="119">
        <f>+'[8]Planeación 2025 P&amp;K (def Mod1)'!M43</f>
        <v>16411200</v>
      </c>
      <c r="H145" s="136">
        <f>+'[8]Planeación 2025 P&amp;K (def Mod1)'!N43</f>
        <v>16411200</v>
      </c>
      <c r="I145" s="120">
        <f>+'[8]Planeación 2025 P&amp;K (def Mod1)'!O43</f>
        <v>16411200</v>
      </c>
      <c r="J145" s="89">
        <f>+'[8]Planeación 2025 P&amp;K (def Mod1)'!P43</f>
        <v>16411200</v>
      </c>
      <c r="K145" s="119">
        <f>+'[8]Planeación 2025 P&amp;K (def Mod1)'!Q43</f>
        <v>16411200</v>
      </c>
      <c r="L145" s="147">
        <f>+'[8]Planeación 2025 P&amp;K (def Mod1)'!R43</f>
        <v>16411200</v>
      </c>
      <c r="M145" s="152">
        <f>+'[8]Planeación 2025 P&amp;K (def Mod1)'!S43</f>
        <v>16411200</v>
      </c>
      <c r="N145" s="163">
        <f t="shared" si="32"/>
        <v>16411200</v>
      </c>
      <c r="O145" s="4">
        <f>SUM(C145:N145)-52364800</f>
        <v>144569600</v>
      </c>
      <c r="P145" s="34"/>
      <c r="Q145" s="40"/>
      <c r="R145" s="38"/>
      <c r="S145" s="2"/>
      <c r="T145" s="2"/>
    </row>
    <row r="146" spans="1:23" x14ac:dyDescent="0.25">
      <c r="A146" s="110" t="s">
        <v>201</v>
      </c>
      <c r="B146" s="109"/>
      <c r="C146" s="85"/>
      <c r="D146" s="85"/>
      <c r="E146" s="85">
        <v>90000000</v>
      </c>
      <c r="F146" s="4"/>
      <c r="G146" s="124">
        <f>+'[8]Planeación 2025 P&amp;K (def Mod1)'!$M$159</f>
        <v>80000000</v>
      </c>
      <c r="H146" s="124">
        <f>+'[8]Planeación 2025 P&amp;K (def Mod1)'!$N$159</f>
        <v>70000000</v>
      </c>
      <c r="I146" s="51">
        <f>+'[8]Planeación 2025 P&amp;K (def Mod1)'!$O$159</f>
        <v>70695959</v>
      </c>
      <c r="J146" s="89">
        <v>0</v>
      </c>
      <c r="K146" s="85">
        <v>0</v>
      </c>
      <c r="L146" s="4"/>
      <c r="M146" s="4"/>
      <c r="N146" s="83"/>
      <c r="O146" s="4"/>
      <c r="P146" s="34"/>
      <c r="Q146" s="40"/>
      <c r="R146" s="38"/>
      <c r="S146" s="2"/>
      <c r="T146" s="2"/>
    </row>
    <row r="147" spans="1:23" x14ac:dyDescent="0.25">
      <c r="A147" s="12" t="s">
        <v>53</v>
      </c>
      <c r="B147" s="8">
        <f t="shared" ref="B147:N147" si="33">SUM(B85:B145)</f>
        <v>3995814481.3661299</v>
      </c>
      <c r="C147" s="8">
        <f t="shared" si="33"/>
        <v>136552126.86384416</v>
      </c>
      <c r="D147" s="8">
        <f t="shared" si="33"/>
        <v>169065126.86384416</v>
      </c>
      <c r="E147" s="8">
        <f>SUM(E85:E146)</f>
        <v>266895126.86384416</v>
      </c>
      <c r="F147" s="8">
        <f t="shared" si="33"/>
        <v>329965126.86384416</v>
      </c>
      <c r="G147" s="8">
        <f>SUM(G85:G146)</f>
        <v>443865126.86384416</v>
      </c>
      <c r="H147" s="8">
        <f>SUM(H85:H146)</f>
        <v>405965126.86384416</v>
      </c>
      <c r="I147" s="8">
        <f>SUM(I85:I146)</f>
        <v>246861085.86384416</v>
      </c>
      <c r="J147" s="8">
        <f t="shared" si="33"/>
        <v>245065126.86384416</v>
      </c>
      <c r="K147" s="8">
        <f t="shared" si="33"/>
        <v>528615126.86384416</v>
      </c>
      <c r="L147" s="8">
        <f t="shared" si="33"/>
        <v>189315126.86384416</v>
      </c>
      <c r="M147" s="8">
        <f t="shared" si="33"/>
        <v>544415126.86384416</v>
      </c>
      <c r="N147" s="8">
        <f t="shared" si="33"/>
        <v>204065126.86384416</v>
      </c>
      <c r="O147" s="8">
        <f>SUM(O85:O145)</f>
        <v>3099441749.3661299</v>
      </c>
      <c r="P147" s="34"/>
      <c r="Q147" s="40"/>
      <c r="R147" s="39"/>
      <c r="S147" s="2"/>
      <c r="T147" s="2"/>
      <c r="V147" s="2"/>
    </row>
    <row r="148" spans="1:23" s="1" customFormat="1" x14ac:dyDescent="0.25">
      <c r="A148" s="12" t="s">
        <v>62</v>
      </c>
      <c r="B148" s="15">
        <f t="shared" ref="B148:O148" si="34">+B147+B84+B52</f>
        <v>8689789985.6410618</v>
      </c>
      <c r="C148" s="15">
        <f t="shared" si="34"/>
        <v>369799252.22295719</v>
      </c>
      <c r="D148" s="15">
        <f t="shared" si="34"/>
        <v>452832252.22295719</v>
      </c>
      <c r="E148" s="15">
        <f t="shared" si="34"/>
        <v>607062252.22295713</v>
      </c>
      <c r="F148" s="15">
        <f t="shared" si="34"/>
        <v>683432252.22295713</v>
      </c>
      <c r="G148" s="15">
        <f t="shared" si="34"/>
        <v>942832252.22295713</v>
      </c>
      <c r="H148" s="15">
        <f t="shared" si="34"/>
        <v>848932252.22295713</v>
      </c>
      <c r="I148" s="15">
        <f>+I147+I84+I52</f>
        <v>688888211.22295713</v>
      </c>
      <c r="J148" s="15">
        <f t="shared" si="34"/>
        <v>649742252.22295713</v>
      </c>
      <c r="K148" s="15">
        <f t="shared" si="34"/>
        <v>878292252.22295713</v>
      </c>
      <c r="L148" s="15">
        <f t="shared" si="34"/>
        <v>585492252.22295713</v>
      </c>
      <c r="M148" s="15">
        <f>+M147+M84+M52</f>
        <v>886592252.22295713</v>
      </c>
      <c r="N148" s="15">
        <f t="shared" si="34"/>
        <v>583742252.22295713</v>
      </c>
      <c r="O148" s="15">
        <f t="shared" si="34"/>
        <v>7500526928.7754869</v>
      </c>
      <c r="P148" s="34"/>
      <c r="Q148" s="40"/>
      <c r="R148" s="40"/>
      <c r="S148" s="2"/>
      <c r="T148" s="2"/>
    </row>
    <row r="149" spans="1:23" ht="19.5" thickBot="1" x14ac:dyDescent="0.3">
      <c r="A149" s="13" t="s">
        <v>0</v>
      </c>
      <c r="B149" s="9">
        <f>+B15-B148</f>
        <v>-157040000.00011349</v>
      </c>
      <c r="C149" s="9">
        <f t="shared" ref="C149:O149" si="35">+C15-C148</f>
        <v>-176568010.9987115</v>
      </c>
      <c r="D149" s="9">
        <f t="shared" si="35"/>
        <v>-259601010.9987115</v>
      </c>
      <c r="E149" s="9">
        <f t="shared" si="35"/>
        <v>3844364948.0012889</v>
      </c>
      <c r="F149" s="9">
        <f t="shared" si="35"/>
        <v>-484701010.99871147</v>
      </c>
      <c r="G149" s="9">
        <f t="shared" si="35"/>
        <v>-744101010.99871147</v>
      </c>
      <c r="H149" s="9">
        <f t="shared" si="35"/>
        <v>-650201010.99871147</v>
      </c>
      <c r="I149" s="9">
        <f t="shared" si="35"/>
        <v>-490156969.99871147</v>
      </c>
      <c r="J149" s="9">
        <f t="shared" si="35"/>
        <v>1455268120.9512887</v>
      </c>
      <c r="K149" s="9">
        <f t="shared" si="35"/>
        <v>-679561010.99871147</v>
      </c>
      <c r="L149" s="9">
        <f t="shared" si="35"/>
        <v>-386761010.99871147</v>
      </c>
      <c r="M149" s="9">
        <f t="shared" si="35"/>
        <v>-687861010.99871147</v>
      </c>
      <c r="N149" s="9">
        <f t="shared" si="35"/>
        <v>-385011010.99871147</v>
      </c>
      <c r="O149" s="9">
        <f t="shared" si="35"/>
        <v>1032223056.8654613</v>
      </c>
      <c r="P149" s="34"/>
      <c r="Q149" s="41"/>
      <c r="R149" s="41"/>
      <c r="S149" s="2"/>
      <c r="T149" s="2"/>
    </row>
    <row r="150" spans="1:23" x14ac:dyDescent="0.25">
      <c r="C150" s="2">
        <f>+C148</f>
        <v>369799252.22295719</v>
      </c>
      <c r="D150" s="2">
        <f>+C150+D148</f>
        <v>822631504.44591439</v>
      </c>
      <c r="E150" s="2">
        <f t="shared" ref="E150:L150" si="36">+D150+E148</f>
        <v>1429693756.6688714</v>
      </c>
      <c r="F150" s="2">
        <f t="shared" si="36"/>
        <v>2113126008.8918285</v>
      </c>
      <c r="G150" s="2">
        <f t="shared" si="36"/>
        <v>3055958261.1147857</v>
      </c>
      <c r="H150" s="2">
        <f>+G150+H148</f>
        <v>3904890513.3377428</v>
      </c>
      <c r="I150" s="2">
        <f t="shared" si="36"/>
        <v>4593778724.5606995</v>
      </c>
      <c r="J150" s="2">
        <f t="shared" si="36"/>
        <v>5243520976.7836571</v>
      </c>
      <c r="K150" s="2">
        <f t="shared" si="36"/>
        <v>6121813229.0066147</v>
      </c>
      <c r="L150" s="2">
        <f t="shared" si="36"/>
        <v>6707305481.2295723</v>
      </c>
      <c r="M150" s="2">
        <f t="shared" ref="M150" si="37">+L150+M148</f>
        <v>7593897733.4525299</v>
      </c>
      <c r="N150" s="2">
        <f>+M150+N148</f>
        <v>8177639985.6754875</v>
      </c>
      <c r="P150" s="34"/>
      <c r="T150" s="2"/>
    </row>
    <row r="151" spans="1:23" x14ac:dyDescent="0.25">
      <c r="B151" s="2"/>
      <c r="E151" s="2"/>
      <c r="G151" s="2"/>
      <c r="H151" s="2"/>
      <c r="I151" s="2"/>
      <c r="J151" s="2"/>
      <c r="K151" s="95"/>
      <c r="M151">
        <f>+N151/2</f>
        <v>-256074999.98278713</v>
      </c>
      <c r="N151" s="2">
        <f>+N150-B148</f>
        <v>-512149999.96557426</v>
      </c>
      <c r="P151" s="34"/>
      <c r="Q151" s="2"/>
      <c r="T151" s="2"/>
      <c r="U151" s="20"/>
      <c r="W151" s="2"/>
    </row>
    <row r="152" spans="1:23" x14ac:dyDescent="0.25">
      <c r="B152" s="2">
        <f>+[12]EjecucionPptalPasiva!$E$391</f>
        <v>752695959</v>
      </c>
      <c r="C152" s="3">
        <f>+'[13]202401anual'!C147</f>
        <v>593971271.37071896</v>
      </c>
      <c r="D152" s="3">
        <f>+'[13]202401anual'!D147</f>
        <v>1282806684.7414379</v>
      </c>
      <c r="E152" s="3">
        <f>+'[13]202401anual'!E147</f>
        <v>1825275149.2311568</v>
      </c>
      <c r="F152" s="3">
        <f>+'[13]202401anual'!F147</f>
        <v>2271612247.0542092</v>
      </c>
      <c r="G152" s="3">
        <f>+'[13]202401anual'!G147</f>
        <v>3020240251.7105951</v>
      </c>
      <c r="H152" s="3">
        <f>+'[13]202401anual'!H147</f>
        <v>3751370656.366981</v>
      </c>
      <c r="I152" s="3">
        <f>+'[13]202401anual'!I147</f>
        <v>4658391579.0233669</v>
      </c>
      <c r="J152" s="3">
        <f>+'[13]202401anual'!J147</f>
        <v>5449407383.6833076</v>
      </c>
      <c r="K152" s="3">
        <f>+'[13]202401anual'!K147</f>
        <v>7842356588.3432484</v>
      </c>
      <c r="L152" s="3">
        <f>+'[13]202401anual'!L147</f>
        <v>0</v>
      </c>
      <c r="N152" s="2">
        <f>+N151-O148</f>
        <v>-8012676928.7410612</v>
      </c>
      <c r="P152" s="34"/>
      <c r="T152" s="2"/>
      <c r="U152" s="20"/>
      <c r="W152" s="2"/>
    </row>
    <row r="153" spans="1:23" x14ac:dyDescent="0.25">
      <c r="B153" s="2">
        <f>+[12]EjecucionPptalPasiva!$E$391+'[9]Ppto2025 P&amp;K Original'!$F$157</f>
        <v>1052695959</v>
      </c>
      <c r="C153" s="2">
        <f>+C152-C150</f>
        <v>224172019.14776176</v>
      </c>
      <c r="D153" s="2">
        <f t="shared" ref="D153:L153" si="38">+D152-D150</f>
        <v>460175180.29552352</v>
      </c>
      <c r="E153" s="2">
        <f t="shared" si="38"/>
        <v>395581392.56228542</v>
      </c>
      <c r="F153" s="2">
        <f t="shared" si="38"/>
        <v>158486238.1623807</v>
      </c>
      <c r="G153" s="2">
        <f t="shared" si="38"/>
        <v>-35718009.40419054</v>
      </c>
      <c r="H153" s="2">
        <f t="shared" si="38"/>
        <v>-153519856.97076178</v>
      </c>
      <c r="I153" s="2">
        <f t="shared" si="38"/>
        <v>64612854.462667465</v>
      </c>
      <c r="J153" s="2">
        <f t="shared" si="38"/>
        <v>205886406.89965057</v>
      </c>
      <c r="K153" s="2">
        <f t="shared" si="38"/>
        <v>1720543359.3366337</v>
      </c>
      <c r="L153" s="2">
        <f t="shared" si="38"/>
        <v>-6707305481.2295723</v>
      </c>
      <c r="N153" s="2">
        <f>+N152/10</f>
        <v>-801267692.87410617</v>
      </c>
      <c r="P153" s="34"/>
      <c r="Q153" s="2"/>
      <c r="T153" s="2"/>
      <c r="U153" s="20"/>
    </row>
    <row r="154" spans="1:23" x14ac:dyDescent="0.25">
      <c r="B154" s="2"/>
      <c r="G154" s="2"/>
      <c r="H154" s="2"/>
      <c r="J154" s="2"/>
      <c r="P154" s="34"/>
      <c r="T154" s="2"/>
      <c r="U154" s="20">
        <v>371527244</v>
      </c>
      <c r="V154" s="2">
        <f>+U154+T154</f>
        <v>371527244</v>
      </c>
    </row>
    <row r="155" spans="1:23" x14ac:dyDescent="0.25">
      <c r="B155" s="2">
        <f>+B153-B148</f>
        <v>-7637094026.6410618</v>
      </c>
      <c r="D155" s="2"/>
      <c r="H155" s="2"/>
      <c r="J155" s="2"/>
      <c r="M155">
        <v>656363394</v>
      </c>
      <c r="N155" s="2">
        <v>784916275</v>
      </c>
      <c r="O155" s="2">
        <f>+N155-N148</f>
        <v>201174022.77704287</v>
      </c>
      <c r="P155" s="34"/>
      <c r="T155" s="2"/>
      <c r="U155" s="2"/>
    </row>
    <row r="156" spans="1:23" x14ac:dyDescent="0.25">
      <c r="B156">
        <f>+[14]EjecucionPptalPasiva!$K$16</f>
        <v>7449706778</v>
      </c>
      <c r="C156" s="2">
        <f>+C148</f>
        <v>369799252.22295719</v>
      </c>
      <c r="D156" s="2">
        <f>+C156+D148</f>
        <v>822631504.44591439</v>
      </c>
      <c r="E156" s="2">
        <f t="shared" ref="E156:N156" si="39">+D156+E148</f>
        <v>1429693756.6688714</v>
      </c>
      <c r="F156" s="2">
        <f t="shared" si="39"/>
        <v>2113126008.8918285</v>
      </c>
      <c r="G156" s="2">
        <f t="shared" si="39"/>
        <v>3055958261.1147857</v>
      </c>
      <c r="H156" s="2">
        <f t="shared" si="39"/>
        <v>3904890513.3377428</v>
      </c>
      <c r="I156" s="2">
        <f t="shared" si="39"/>
        <v>4593778724.5606995</v>
      </c>
      <c r="J156" s="2">
        <f t="shared" si="39"/>
        <v>5243520976.7836571</v>
      </c>
      <c r="K156" s="2">
        <f t="shared" si="39"/>
        <v>6121813229.0066147</v>
      </c>
      <c r="L156" s="2">
        <f t="shared" si="39"/>
        <v>6707305481.2295723</v>
      </c>
      <c r="M156" s="2">
        <f t="shared" si="39"/>
        <v>7593897733.4525299</v>
      </c>
      <c r="N156" s="2">
        <f t="shared" si="39"/>
        <v>8177639985.6754875</v>
      </c>
      <c r="P156" s="34"/>
      <c r="T156" s="2"/>
      <c r="U156" s="2"/>
    </row>
    <row r="157" spans="1:23" x14ac:dyDescent="0.25">
      <c r="B157" s="2">
        <f>+B156-B148</f>
        <v>-1240083207.6410618</v>
      </c>
      <c r="C157" s="3">
        <f>+'2025Ej'!C95</f>
        <v>489559252.40437692</v>
      </c>
      <c r="D157" s="3">
        <f>+'2025Ej'!F95</f>
        <v>684832252.22295713</v>
      </c>
      <c r="E157" s="3">
        <f>+'2025Ej'!I95</f>
        <v>607062252.22295713</v>
      </c>
      <c r="F157" s="3">
        <f>+'2025Ej'!L95</f>
        <v>686782252.22295713</v>
      </c>
      <c r="G157" s="3">
        <f>+'2025Ej'!G95</f>
        <v>555649645</v>
      </c>
      <c r="H157" s="3">
        <f>+'2025Ej'!H95</f>
        <v>129182607.22295721</v>
      </c>
      <c r="I157" s="3">
        <f>+'2025Ej'!I95</f>
        <v>607062252.22295713</v>
      </c>
      <c r="J157" s="3">
        <f>+'2025Ej'!J95</f>
        <v>339584028.72000003</v>
      </c>
      <c r="K157" s="3">
        <f>+'2025Ej'!K95</f>
        <v>267478223.50295722</v>
      </c>
      <c r="L157" s="3">
        <f>+'2025Ej'!L95</f>
        <v>686782252.22295713</v>
      </c>
      <c r="M157" s="3">
        <f>+'2025Ej'!M95</f>
        <v>631910828.93000007</v>
      </c>
      <c r="N157" s="3">
        <f>+'2025Ej'!N95</f>
        <v>54871423.292957202</v>
      </c>
      <c r="P157" s="34"/>
      <c r="T157" s="2"/>
    </row>
    <row r="158" spans="1:23" x14ac:dyDescent="0.25">
      <c r="H158" s="2"/>
      <c r="M158" s="2">
        <f>+M148-'2025Ej'!AH95</f>
        <v>521474352.22295713</v>
      </c>
      <c r="N158" s="2">
        <f>+N157-N156</f>
        <v>-8122768562.3825302</v>
      </c>
      <c r="P158" s="34"/>
      <c r="R158" s="2">
        <f>+J145+J144+J142+J141+J136+J134+J119+J118+J114+J113+J105+J103+J101+J99+J97+J94+J92+J91+J89+J85+J104+J93</f>
        <v>175443831.8517547</v>
      </c>
      <c r="T158" s="2"/>
    </row>
    <row r="159" spans="1:23" x14ac:dyDescent="0.25">
      <c r="D159" s="3">
        <f>+'[9]Hoja de W esta'!$K$157</f>
        <v>452832252.22008836</v>
      </c>
      <c r="H159" s="2"/>
      <c r="I159" s="2">
        <f>+'[8]Planeación 2025 P&amp;K (def Mod1)'!$O$160</f>
        <v>688888211.22008848</v>
      </c>
      <c r="M159" s="2">
        <f>+M158-N148</f>
        <v>-62267900</v>
      </c>
      <c r="P159" s="34"/>
      <c r="R159" s="2">
        <f>+J123+J121+J117+J107+J96+J88+J86</f>
        <v>45991295.012089476</v>
      </c>
      <c r="T159" s="2"/>
    </row>
    <row r="160" spans="1:23" x14ac:dyDescent="0.25">
      <c r="D160" s="2">
        <f>+D159-D148</f>
        <v>-2.8688311576843262E-3</v>
      </c>
      <c r="E160" s="2">
        <f>+'[8]Planeación 2025 P&amp;K (def Mod1)'!$K$160-E148</f>
        <v>-2.86865234375E-3</v>
      </c>
      <c r="I160" s="2">
        <f>+I159-I148</f>
        <v>-2.86865234375E-3</v>
      </c>
      <c r="M160" s="2">
        <f>+M159+N148</f>
        <v>521474352.22295713</v>
      </c>
      <c r="R160" s="2">
        <f>+J143+J137+J98+J87</f>
        <v>20830000</v>
      </c>
      <c r="T160" s="2"/>
    </row>
    <row r="161" spans="2:20" x14ac:dyDescent="0.25">
      <c r="T161" s="2"/>
    </row>
    <row r="162" spans="2:20" x14ac:dyDescent="0.25">
      <c r="O162">
        <f>+'2025Ej'!AM101</f>
        <v>0</v>
      </c>
    </row>
    <row r="163" spans="2:20" x14ac:dyDescent="0.25">
      <c r="H163" s="3">
        <f>+'[8]Planeación 2025 P&amp;K (def Mod1)'!$N$160</f>
        <v>848932252.22008848</v>
      </c>
      <c r="L163" s="3">
        <v>9565112976.7293091</v>
      </c>
      <c r="M163" s="2">
        <f>+M148-'2025Ej'!AG95</f>
        <v>0</v>
      </c>
      <c r="N163">
        <v>774514875</v>
      </c>
      <c r="O163" s="2">
        <f>+M148+N163</f>
        <v>1661107127.2229571</v>
      </c>
    </row>
    <row r="164" spans="2:20" x14ac:dyDescent="0.25">
      <c r="G164" s="2"/>
      <c r="H164" s="3">
        <f>+H163-H148</f>
        <v>-2.86865234375E-3</v>
      </c>
      <c r="N164" s="2">
        <f>+N163-N148</f>
        <v>190772622.77704287</v>
      </c>
      <c r="O164" s="2">
        <f>+O163-O162</f>
        <v>1661107127.2229571</v>
      </c>
      <c r="P164" s="2">
        <f>+M147</f>
        <v>544415126.86384416</v>
      </c>
    </row>
    <row r="165" spans="2:20" x14ac:dyDescent="0.25">
      <c r="H165" s="3">
        <f>+H52+H84</f>
        <v>442967125.3591131</v>
      </c>
      <c r="L165" s="2">
        <f>+L163-B148</f>
        <v>875322991.0882473</v>
      </c>
      <c r="N165" s="2">
        <f>+N164-S99</f>
        <v>190772622.77704287</v>
      </c>
      <c r="P165" s="3">
        <f>+'[8]Planeación 2025 P&amp;K (def Mod1)'!$S$166</f>
        <v>778992252.2200886</v>
      </c>
    </row>
    <row r="166" spans="2:20" x14ac:dyDescent="0.25">
      <c r="H166" s="3">
        <f>+'[8]Planeación 2025 P&amp;K (def Mod1)'!$N$184</f>
        <v>848932252.22008848</v>
      </c>
      <c r="L166" s="2">
        <f>SUM(M148:N148)</f>
        <v>1470334504.4459143</v>
      </c>
      <c r="P166" s="2">
        <f>+P165-P164</f>
        <v>234577125.35624444</v>
      </c>
    </row>
    <row r="167" spans="2:20" x14ac:dyDescent="0.25">
      <c r="H167" s="3">
        <f>+H166-H165</f>
        <v>405965126.86097538</v>
      </c>
      <c r="L167" s="3">
        <f>+'[8]Planeación 2025 P&amp;K (def Mod1)'!$R$160</f>
        <v>585492252.22008848</v>
      </c>
    </row>
    <row r="168" spans="2:20" x14ac:dyDescent="0.25">
      <c r="L168" s="2">
        <f>+L167-L148</f>
        <v>-2.86865234375E-3</v>
      </c>
    </row>
    <row r="169" spans="2:20" x14ac:dyDescent="0.25">
      <c r="O169">
        <f>+[14]EjecucionPptalPasiva!$K$16</f>
        <v>7449706778</v>
      </c>
    </row>
    <row r="170" spans="2:20" x14ac:dyDescent="0.25">
      <c r="B170" s="2">
        <f>+B15</f>
        <v>8532749985.6409483</v>
      </c>
    </row>
    <row r="171" spans="2:20" x14ac:dyDescent="0.25">
      <c r="B171" s="2">
        <f>+B170-B148</f>
        <v>-157040000.00011349</v>
      </c>
      <c r="G171" s="2">
        <f>+G146+G120+G63+G41+G22</f>
        <v>124000000</v>
      </c>
    </row>
    <row r="172" spans="2:20" x14ac:dyDescent="0.25">
      <c r="G172" s="2">
        <f>+G138+G133+G128+G129+G130</f>
        <v>30000000</v>
      </c>
    </row>
    <row r="173" spans="2:20" x14ac:dyDescent="0.25">
      <c r="G173" s="2">
        <f>+G137+G143+G98</f>
        <v>4830000</v>
      </c>
    </row>
    <row r="174" spans="2:20" x14ac:dyDescent="0.25">
      <c r="G174" s="2">
        <f>+G123+G121+G117+G116+G107+G96+G88+G86</f>
        <v>195991295.01208946</v>
      </c>
    </row>
    <row r="177" spans="10:13" x14ac:dyDescent="0.25">
      <c r="J177" s="2">
        <f>SUM(C148:G148)</f>
        <v>3055958261.1147857</v>
      </c>
      <c r="K177" s="2">
        <f>SUM(H148:N148)</f>
        <v>5121681724.5606995</v>
      </c>
      <c r="L177" s="2">
        <f>+K177+J177</f>
        <v>8177639985.6754856</v>
      </c>
      <c r="M177" s="2">
        <f>+L177-O148</f>
        <v>677113056.89999866</v>
      </c>
    </row>
    <row r="178" spans="10:13" x14ac:dyDescent="0.25">
      <c r="J178" s="2">
        <f>+'2025Ej'!AN99</f>
        <v>5376446189.2273359</v>
      </c>
    </row>
    <row r="179" spans="10:13" x14ac:dyDescent="0.25">
      <c r="J179" s="2">
        <f>+J177-J178</f>
        <v>-2320487928.1125503</v>
      </c>
    </row>
  </sheetData>
  <autoFilter ref="A5:O149" xr:uid="{4C861BE8-7E5D-4966-A65F-7599F5FEBCAA}"/>
  <mergeCells count="2">
    <mergeCell ref="A1:C1"/>
    <mergeCell ref="A3:O3"/>
  </mergeCells>
  <pageMargins left="0.59055118110236227" right="0.39370078740157483" top="0.39370078740157483" bottom="0.59055118110236227" header="0.31496062992125984" footer="0.31496062992125984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69B29-B0CC-43C7-B39A-D8917A4DC017}">
  <dimension ref="A1:BA160"/>
  <sheetViews>
    <sheetView showGridLines="0" tabSelected="1" zoomScaleNormal="100" workbookViewId="0">
      <pane xSplit="1" ySplit="5" topLeftCell="AF73" activePane="bottomRight" state="frozen"/>
      <selection pane="topRight" activeCell="B1" sqref="B1"/>
      <selection pane="bottomLeft" activeCell="A5" sqref="A5"/>
      <selection pane="bottomRight" activeCell="AP95" sqref="AP95"/>
    </sheetView>
  </sheetViews>
  <sheetFormatPr baseColWidth="10" defaultColWidth="11.42578125" defaultRowHeight="15" x14ac:dyDescent="0.25"/>
  <cols>
    <col min="1" max="1" width="65.42578125" customWidth="1"/>
    <col min="2" max="2" width="17.85546875" customWidth="1"/>
    <col min="3" max="8" width="15.5703125" customWidth="1"/>
    <col min="9" max="11" width="16.7109375" customWidth="1"/>
    <col min="12" max="23" width="16.140625" customWidth="1"/>
    <col min="24" max="27" width="16.7109375" customWidth="1"/>
    <col min="28" max="28" width="14.28515625" customWidth="1"/>
    <col min="29" max="29" width="14.140625" customWidth="1"/>
    <col min="30" max="35" width="16.7109375" customWidth="1"/>
    <col min="36" max="38" width="16.140625" customWidth="1"/>
    <col min="39" max="39" width="17.85546875" customWidth="1"/>
    <col min="40" max="40" width="16.7109375" customWidth="1"/>
    <col min="41" max="41" width="18.42578125" customWidth="1"/>
    <col min="42" max="42" width="8" customWidth="1"/>
    <col min="43" max="43" width="3.85546875" customWidth="1"/>
    <col min="44" max="44" width="16.85546875" bestFit="1" customWidth="1"/>
    <col min="45" max="45" width="17" hidden="1" customWidth="1"/>
    <col min="46" max="46" width="18.42578125" hidden="1" customWidth="1"/>
    <col min="47" max="47" width="14.140625" hidden="1" customWidth="1"/>
    <col min="48" max="48" width="10.42578125" hidden="1" customWidth="1"/>
    <col min="49" max="49" width="14" hidden="1" customWidth="1"/>
    <col min="50" max="50" width="33.5703125" style="69" hidden="1" customWidth="1"/>
    <col min="51" max="51" width="12.7109375" hidden="1" customWidth="1"/>
    <col min="52" max="52" width="11.5703125" bestFit="1" customWidth="1"/>
    <col min="53" max="53" width="13.140625" bestFit="1" customWidth="1"/>
  </cols>
  <sheetData>
    <row r="1" spans="1:51" x14ac:dyDescent="0.25">
      <c r="A1" s="167" t="s">
        <v>51</v>
      </c>
      <c r="B1" s="167"/>
      <c r="C1" s="167"/>
      <c r="D1" s="14"/>
      <c r="E1" s="14"/>
      <c r="Y1" s="2"/>
      <c r="Z1" s="88"/>
    </row>
    <row r="2" spans="1:51" x14ac:dyDescent="0.25">
      <c r="A2" s="14"/>
      <c r="B2" s="14"/>
      <c r="C2" s="14"/>
      <c r="D2" s="14"/>
      <c r="E2" s="14"/>
      <c r="Y2" s="2"/>
    </row>
    <row r="3" spans="1:51" ht="15.75" thickBot="1" x14ac:dyDescent="0.3">
      <c r="A3" s="168" t="s">
        <v>204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  <c r="AM3" s="168"/>
      <c r="AN3" s="168"/>
      <c r="AO3" s="168"/>
      <c r="AP3" s="168"/>
      <c r="AQ3" s="23"/>
      <c r="AR3" s="23"/>
    </row>
    <row r="4" spans="1:51" ht="15.75" thickBot="1" x14ac:dyDescent="0.3">
      <c r="A4" s="23"/>
      <c r="B4" s="23"/>
      <c r="C4" s="169" t="s">
        <v>105</v>
      </c>
      <c r="D4" s="170"/>
      <c r="E4" s="171"/>
      <c r="F4" s="169" t="s">
        <v>107</v>
      </c>
      <c r="G4" s="170"/>
      <c r="H4" s="171"/>
      <c r="I4" s="169" t="s">
        <v>109</v>
      </c>
      <c r="J4" s="170"/>
      <c r="K4" s="171"/>
      <c r="L4" s="169" t="s">
        <v>111</v>
      </c>
      <c r="M4" s="170"/>
      <c r="N4" s="171"/>
      <c r="O4" s="169" t="s">
        <v>112</v>
      </c>
      <c r="P4" s="170"/>
      <c r="Q4" s="171"/>
      <c r="R4" s="169" t="s">
        <v>114</v>
      </c>
      <c r="S4" s="170"/>
      <c r="T4" s="171"/>
      <c r="U4" s="169" t="s">
        <v>115</v>
      </c>
      <c r="V4" s="170"/>
      <c r="W4" s="171"/>
      <c r="X4" s="169" t="s">
        <v>116</v>
      </c>
      <c r="Y4" s="170"/>
      <c r="Z4" s="171"/>
      <c r="AA4" s="169" t="s">
        <v>117</v>
      </c>
      <c r="AB4" s="170"/>
      <c r="AC4" s="171"/>
      <c r="AD4" s="169" t="s">
        <v>118</v>
      </c>
      <c r="AE4" s="170"/>
      <c r="AF4" s="171"/>
      <c r="AG4" s="169" t="s">
        <v>119</v>
      </c>
      <c r="AH4" s="170"/>
      <c r="AI4" s="171"/>
      <c r="AJ4" s="169" t="s">
        <v>120</v>
      </c>
      <c r="AK4" s="170"/>
      <c r="AL4" s="171"/>
      <c r="AM4" s="172" t="s">
        <v>48</v>
      </c>
      <c r="AN4" s="173"/>
      <c r="AO4" s="173"/>
      <c r="AP4" s="174"/>
      <c r="AQ4" s="23"/>
      <c r="AR4" s="23"/>
    </row>
    <row r="5" spans="1:51" s="19" customFormat="1" ht="30" x14ac:dyDescent="0.25">
      <c r="A5" s="16" t="s">
        <v>50</v>
      </c>
      <c r="B5" s="17" t="s">
        <v>188</v>
      </c>
      <c r="C5" s="17" t="s">
        <v>40</v>
      </c>
      <c r="D5" s="17" t="s">
        <v>99</v>
      </c>
      <c r="E5" s="17" t="s">
        <v>100</v>
      </c>
      <c r="F5" s="17" t="s">
        <v>41</v>
      </c>
      <c r="G5" s="17" t="s">
        <v>106</v>
      </c>
      <c r="H5" s="17" t="s">
        <v>100</v>
      </c>
      <c r="I5" s="17" t="s">
        <v>42</v>
      </c>
      <c r="J5" s="17" t="s">
        <v>106</v>
      </c>
      <c r="K5" s="17" t="s">
        <v>100</v>
      </c>
      <c r="L5" s="17" t="s">
        <v>43</v>
      </c>
      <c r="M5" s="17" t="s">
        <v>106</v>
      </c>
      <c r="N5" s="17" t="s">
        <v>100</v>
      </c>
      <c r="O5" s="17" t="s">
        <v>44</v>
      </c>
      <c r="P5" s="17" t="s">
        <v>106</v>
      </c>
      <c r="Q5" s="17" t="s">
        <v>100</v>
      </c>
      <c r="R5" s="17" t="s">
        <v>6</v>
      </c>
      <c r="S5" s="17" t="s">
        <v>106</v>
      </c>
      <c r="T5" s="17" t="s">
        <v>100</v>
      </c>
      <c r="U5" s="17" t="s">
        <v>5</v>
      </c>
      <c r="V5" s="17" t="s">
        <v>106</v>
      </c>
      <c r="W5" s="17" t="s">
        <v>100</v>
      </c>
      <c r="X5" s="17" t="s">
        <v>45</v>
      </c>
      <c r="Y5" s="17" t="s">
        <v>106</v>
      </c>
      <c r="Z5" s="17" t="s">
        <v>100</v>
      </c>
      <c r="AA5" s="17" t="s">
        <v>46</v>
      </c>
      <c r="AB5" s="17" t="s">
        <v>106</v>
      </c>
      <c r="AC5" s="17" t="s">
        <v>100</v>
      </c>
      <c r="AD5" s="17" t="s">
        <v>47</v>
      </c>
      <c r="AE5" s="17" t="s">
        <v>106</v>
      </c>
      <c r="AF5" s="17" t="s">
        <v>100</v>
      </c>
      <c r="AG5" s="17" t="s">
        <v>4</v>
      </c>
      <c r="AH5" s="17" t="s">
        <v>106</v>
      </c>
      <c r="AI5" s="17" t="s">
        <v>100</v>
      </c>
      <c r="AJ5" s="17" t="s">
        <v>3</v>
      </c>
      <c r="AK5" s="17" t="s">
        <v>106</v>
      </c>
      <c r="AL5" s="17" t="s">
        <v>100</v>
      </c>
      <c r="AM5" s="28" t="s">
        <v>102</v>
      </c>
      <c r="AN5" s="28" t="s">
        <v>103</v>
      </c>
      <c r="AO5" s="28" t="s">
        <v>104</v>
      </c>
      <c r="AP5" s="77" t="s">
        <v>49</v>
      </c>
      <c r="AQ5" s="33"/>
      <c r="AR5" s="113"/>
      <c r="AX5" s="70"/>
    </row>
    <row r="6" spans="1:51" x14ac:dyDescent="0.25">
      <c r="A6" s="5" t="s">
        <v>189</v>
      </c>
      <c r="B6" s="4">
        <v>1208059843.9637775</v>
      </c>
      <c r="C6" s="4">
        <v>100671653.66364811</v>
      </c>
      <c r="D6" s="4">
        <v>58023869.870000005</v>
      </c>
      <c r="E6" s="4">
        <f>+C6-D6</f>
        <v>42647783.793648109</v>
      </c>
      <c r="F6" s="4">
        <v>100671653.6636481</v>
      </c>
      <c r="G6" s="4">
        <v>52824186.210000001</v>
      </c>
      <c r="H6" s="4">
        <f t="shared" ref="H6:H23" si="0">+F6-G6</f>
        <v>47847467.453648098</v>
      </c>
      <c r="I6" s="4">
        <v>100671653.66364811</v>
      </c>
      <c r="J6" s="4">
        <v>83451679.030000001</v>
      </c>
      <c r="K6" s="4">
        <f t="shared" ref="K6:K26" si="1">+I6-J6</f>
        <v>17219974.633648112</v>
      </c>
      <c r="L6" s="4">
        <f>+'202501anual'!F6+'202501anual'!F7+'202501anual'!F8+'202501anual'!F9</f>
        <v>100671653.66364811</v>
      </c>
      <c r="M6" s="4">
        <v>66139110.059999995</v>
      </c>
      <c r="N6" s="4">
        <f t="shared" ref="N6:N14" si="2">+L6-M6</f>
        <v>34532543.603648119</v>
      </c>
      <c r="O6" s="4">
        <f>+'202501anual'!G6+'202501anual'!G7+'202501anual'!G8+'202501anual'!G9</f>
        <v>100671653.66364811</v>
      </c>
      <c r="P6" s="4">
        <f>+[15]flujo2025!$F$10</f>
        <v>71707783.550000012</v>
      </c>
      <c r="Q6" s="4">
        <f t="shared" ref="Q6:Q15" si="3">+O6-P6</f>
        <v>28963870.113648102</v>
      </c>
      <c r="R6" s="4">
        <f>+'202501anual'!H6+'202501anual'!H7+'202501anual'!H8+'202501anual'!H9</f>
        <v>100671653.66364811</v>
      </c>
      <c r="S6" s="4">
        <v>53003720.390000001</v>
      </c>
      <c r="T6" s="4">
        <f t="shared" ref="T6:T14" si="4">+R6-S6</f>
        <v>47667933.273648113</v>
      </c>
      <c r="U6" s="4">
        <f>+'202501anual'!I6+'202501anual'!I7+'202501anual'!I8+'202501anual'!I9</f>
        <v>100671653.66364811</v>
      </c>
      <c r="V6" s="4">
        <v>68213089.640000001</v>
      </c>
      <c r="W6" s="4">
        <f>+U6-V6</f>
        <v>32458564.023648113</v>
      </c>
      <c r="X6" s="4">
        <f>+'202501anual'!I6+'202501anual'!I7+'202501anual'!I8+'202501anual'!I9</f>
        <v>100671653.66364811</v>
      </c>
      <c r="Y6" s="4">
        <v>57895669.859999999</v>
      </c>
      <c r="Z6" s="4">
        <f>+X6-Y6</f>
        <v>42775983.803648114</v>
      </c>
      <c r="AA6" s="4">
        <f>+'202501anual'!K6+'202501anual'!K7+'202501anual'!K8+'202501anual'!K9</f>
        <v>100671653.66364811</v>
      </c>
      <c r="AB6" s="4">
        <f>+[16]Factrecaudocartera2025!$O$75+[16]Factrecaudocartera2025!$O$81</f>
        <v>70007048</v>
      </c>
      <c r="AC6" s="4">
        <f t="shared" ref="AC6:AC26" si="5">+AA6-AB6</f>
        <v>30664605.663648114</v>
      </c>
      <c r="AD6" s="4">
        <f>+'202501anual'!K6+'202501anual'!K7+'202501anual'!K8+'202501anual'!K9</f>
        <v>100671653.66364811</v>
      </c>
      <c r="AE6" s="4">
        <f>+[17]flujo2025!$K$10</f>
        <v>54328282.919999994</v>
      </c>
      <c r="AF6" s="4">
        <f t="shared" ref="AF6:AF15" si="6">+AD6-AE6</f>
        <v>46343370.743648119</v>
      </c>
      <c r="AG6" s="4">
        <f>+'202501anual'!L6+'202501anual'!L7+'202501anual'!L8+'202501anual'!L9</f>
        <v>100671653.66364811</v>
      </c>
      <c r="AH6" s="4">
        <f>+[18]Factrecaudocartera2025!$O$75+[18]Factrecaudocartera2025!$O$81</f>
        <v>45439285.029999994</v>
      </c>
      <c r="AI6" s="4">
        <f t="shared" ref="AI6:AI14" si="7">+AG6-AH6</f>
        <v>55232368.63364812</v>
      </c>
      <c r="AJ6" s="4">
        <f>+'202501anual'!N6+'202501anual'!N7+'202501anual'!N8+'202501anual'!N9</f>
        <v>100671653.66364811</v>
      </c>
      <c r="AK6" s="4">
        <f>+[19]Factrecaudocartera2025!$M$46</f>
        <v>47979589.899999999</v>
      </c>
      <c r="AL6" s="4">
        <f t="shared" ref="AL6:AL26" si="8">+AJ6-AK6</f>
        <v>52692063.763648115</v>
      </c>
      <c r="AM6" s="4">
        <f>+C6+F6+I6+L6+O6+R6+U6+X6+AA6+AD6+AG6+AJ6</f>
        <v>1208059843.9637773</v>
      </c>
      <c r="AN6" s="4">
        <f>+D6+G6+J6+M6+P6+S6+V6+Y6+AB6+AE6+AH6+AK6</f>
        <v>729013314.45999992</v>
      </c>
      <c r="AO6" s="4">
        <f>+AM6-AN6</f>
        <v>479046529.50377738</v>
      </c>
      <c r="AP6" s="43">
        <f t="shared" ref="AP6:AP12" si="9">+AO6/AM6</f>
        <v>0.39654205203276438</v>
      </c>
      <c r="AQ6" s="34"/>
      <c r="AR6" s="34"/>
      <c r="AS6" s="2"/>
      <c r="AY6" s="2"/>
    </row>
    <row r="7" spans="1:51" hidden="1" x14ac:dyDescent="0.25">
      <c r="A7" s="5" t="s">
        <v>95</v>
      </c>
      <c r="B7" s="4">
        <v>0</v>
      </c>
      <c r="C7" s="4">
        <v>0</v>
      </c>
      <c r="D7" s="4">
        <v>0</v>
      </c>
      <c r="E7" s="4">
        <f t="shared" ref="E7:E15" si="10">+C7-D7</f>
        <v>0</v>
      </c>
      <c r="F7" s="4"/>
      <c r="G7" s="4"/>
      <c r="H7" s="4">
        <f t="shared" si="0"/>
        <v>0</v>
      </c>
      <c r="I7" s="4"/>
      <c r="J7" s="4"/>
      <c r="K7" s="4">
        <f t="shared" si="1"/>
        <v>0</v>
      </c>
      <c r="L7" s="4"/>
      <c r="M7" s="4"/>
      <c r="N7" s="4">
        <f t="shared" si="2"/>
        <v>0</v>
      </c>
      <c r="O7" s="4"/>
      <c r="P7" s="4"/>
      <c r="Q7" s="4">
        <f t="shared" si="3"/>
        <v>0</v>
      </c>
      <c r="R7" s="4"/>
      <c r="S7" s="4"/>
      <c r="T7" s="4">
        <f t="shared" si="4"/>
        <v>0</v>
      </c>
      <c r="U7" s="4"/>
      <c r="V7" s="4"/>
      <c r="W7" s="4">
        <f t="shared" ref="W7:W15" si="11">+U7-V7</f>
        <v>0</v>
      </c>
      <c r="X7" s="4"/>
      <c r="Y7" s="4"/>
      <c r="Z7" s="4">
        <f>+X7-Y7</f>
        <v>0</v>
      </c>
      <c r="AA7" s="4"/>
      <c r="AB7" s="4"/>
      <c r="AC7" s="4">
        <f t="shared" si="5"/>
        <v>0</v>
      </c>
      <c r="AD7" s="4"/>
      <c r="AE7" s="4"/>
      <c r="AF7" s="4">
        <f t="shared" si="6"/>
        <v>0</v>
      </c>
      <c r="AG7" s="4"/>
      <c r="AH7" s="4"/>
      <c r="AI7" s="4">
        <f t="shared" si="7"/>
        <v>0</v>
      </c>
      <c r="AJ7" s="4"/>
      <c r="AK7" s="4"/>
      <c r="AL7" s="4">
        <f t="shared" si="8"/>
        <v>0</v>
      </c>
      <c r="AM7" s="4">
        <f t="shared" ref="AM7:AM15" si="12">+C7+F7+I7+L7+O7+R7+U7+X7+AA7+AD7+AG7+AJ7</f>
        <v>0</v>
      </c>
      <c r="AN7" s="4">
        <f t="shared" ref="AN7:AN15" si="13">+D7+G7+J7+M7+P7+S7+V7+Y7+AB7+AE7+AH7+AK7</f>
        <v>0</v>
      </c>
      <c r="AO7" s="4">
        <f t="shared" ref="AO7:AO15" si="14">+AM7-AN7</f>
        <v>0</v>
      </c>
      <c r="AP7" s="43" t="e">
        <f t="shared" si="9"/>
        <v>#DIV/0!</v>
      </c>
      <c r="AQ7" s="34"/>
      <c r="AR7" s="34"/>
      <c r="AS7" s="2"/>
      <c r="AY7" s="2"/>
    </row>
    <row r="8" spans="1:51" hidden="1" x14ac:dyDescent="0.25">
      <c r="A8" s="5" t="s">
        <v>121</v>
      </c>
      <c r="B8" s="4">
        <v>0</v>
      </c>
      <c r="C8" s="4">
        <v>0</v>
      </c>
      <c r="D8" s="4">
        <v>0</v>
      </c>
      <c r="E8" s="4">
        <f t="shared" si="10"/>
        <v>0</v>
      </c>
      <c r="F8" s="4"/>
      <c r="G8" s="4"/>
      <c r="H8" s="4">
        <f t="shared" si="0"/>
        <v>0</v>
      </c>
      <c r="I8" s="4"/>
      <c r="J8" s="4"/>
      <c r="K8" s="4">
        <f t="shared" si="1"/>
        <v>0</v>
      </c>
      <c r="L8" s="4"/>
      <c r="M8" s="4"/>
      <c r="N8" s="4">
        <f t="shared" si="2"/>
        <v>0</v>
      </c>
      <c r="O8" s="4"/>
      <c r="P8" s="4"/>
      <c r="Q8" s="4">
        <f t="shared" si="3"/>
        <v>0</v>
      </c>
      <c r="R8" s="4"/>
      <c r="S8" s="4"/>
      <c r="T8" s="4">
        <f t="shared" si="4"/>
        <v>0</v>
      </c>
      <c r="U8" s="4"/>
      <c r="V8" s="4"/>
      <c r="W8" s="4">
        <f t="shared" si="11"/>
        <v>0</v>
      </c>
      <c r="X8" s="4"/>
      <c r="Y8" s="4"/>
      <c r="Z8" s="4">
        <f>+X8-Y8</f>
        <v>0</v>
      </c>
      <c r="AA8" s="4"/>
      <c r="AB8" s="4"/>
      <c r="AC8" s="4">
        <f t="shared" si="5"/>
        <v>0</v>
      </c>
      <c r="AD8" s="4"/>
      <c r="AE8" s="4"/>
      <c r="AF8" s="4">
        <f t="shared" si="6"/>
        <v>0</v>
      </c>
      <c r="AG8" s="4"/>
      <c r="AH8" s="4"/>
      <c r="AI8" s="4">
        <f t="shared" si="7"/>
        <v>0</v>
      </c>
      <c r="AJ8" s="4"/>
      <c r="AK8" s="4"/>
      <c r="AL8" s="4">
        <f t="shared" si="8"/>
        <v>0</v>
      </c>
      <c r="AM8" s="4">
        <f t="shared" si="12"/>
        <v>0</v>
      </c>
      <c r="AN8" s="4">
        <f t="shared" si="13"/>
        <v>0</v>
      </c>
      <c r="AO8" s="4">
        <f t="shared" si="14"/>
        <v>0</v>
      </c>
      <c r="AP8" s="43" t="e">
        <f t="shared" si="9"/>
        <v>#DIV/0!</v>
      </c>
      <c r="AQ8" s="34"/>
      <c r="AR8" s="34"/>
      <c r="AS8" s="2"/>
      <c r="AY8" s="2"/>
    </row>
    <row r="9" spans="1:51" hidden="1" x14ac:dyDescent="0.25">
      <c r="A9" s="5" t="s">
        <v>174</v>
      </c>
      <c r="B9" s="4">
        <v>0</v>
      </c>
      <c r="C9" s="4">
        <v>0</v>
      </c>
      <c r="D9" s="4">
        <v>0</v>
      </c>
      <c r="E9" s="4">
        <f t="shared" si="10"/>
        <v>0</v>
      </c>
      <c r="F9" s="4"/>
      <c r="G9" s="4"/>
      <c r="H9" s="4">
        <f t="shared" si="0"/>
        <v>0</v>
      </c>
      <c r="I9" s="4"/>
      <c r="J9" s="4"/>
      <c r="K9" s="4">
        <f t="shared" si="1"/>
        <v>0</v>
      </c>
      <c r="L9" s="4"/>
      <c r="M9" s="4"/>
      <c r="N9" s="4">
        <f t="shared" si="2"/>
        <v>0</v>
      </c>
      <c r="O9" s="4"/>
      <c r="P9" s="4"/>
      <c r="Q9" s="4">
        <f t="shared" si="3"/>
        <v>0</v>
      </c>
      <c r="R9" s="4"/>
      <c r="S9" s="4"/>
      <c r="T9" s="4">
        <f t="shared" si="4"/>
        <v>0</v>
      </c>
      <c r="U9" s="4"/>
      <c r="V9" s="4"/>
      <c r="W9" s="4">
        <f t="shared" si="11"/>
        <v>0</v>
      </c>
      <c r="X9" s="4"/>
      <c r="Y9" s="4"/>
      <c r="Z9" s="4">
        <f t="shared" ref="Z9:Z15" si="15">+X9-Y9</f>
        <v>0</v>
      </c>
      <c r="AA9" s="4"/>
      <c r="AB9" s="4"/>
      <c r="AC9" s="4">
        <f t="shared" si="5"/>
        <v>0</v>
      </c>
      <c r="AD9" s="4"/>
      <c r="AE9" s="4"/>
      <c r="AF9" s="4">
        <f t="shared" si="6"/>
        <v>0</v>
      </c>
      <c r="AG9" s="4"/>
      <c r="AH9" s="4"/>
      <c r="AI9" s="4">
        <f t="shared" si="7"/>
        <v>0</v>
      </c>
      <c r="AJ9" s="4"/>
      <c r="AK9" s="4"/>
      <c r="AL9" s="4">
        <f t="shared" si="8"/>
        <v>0</v>
      </c>
      <c r="AM9" s="4">
        <f t="shared" si="12"/>
        <v>0</v>
      </c>
      <c r="AN9" s="4">
        <f t="shared" si="13"/>
        <v>0</v>
      </c>
      <c r="AO9" s="4">
        <f t="shared" si="14"/>
        <v>0</v>
      </c>
      <c r="AP9" s="43" t="e">
        <f t="shared" si="9"/>
        <v>#DIV/0!</v>
      </c>
      <c r="AQ9" s="34"/>
      <c r="AR9" s="34"/>
      <c r="AS9" s="2"/>
      <c r="AY9" s="2"/>
    </row>
    <row r="10" spans="1:51" x14ac:dyDescent="0.25">
      <c r="A10" s="5" t="s">
        <v>123</v>
      </c>
      <c r="B10" s="4">
        <v>1071000000</v>
      </c>
      <c r="C10" s="4">
        <v>89250000</v>
      </c>
      <c r="D10" s="4">
        <v>65141584.390000008</v>
      </c>
      <c r="E10" s="4">
        <f t="shared" si="10"/>
        <v>24108415.609999992</v>
      </c>
      <c r="F10" s="4">
        <v>89250000</v>
      </c>
      <c r="G10" s="4">
        <v>56996396.379999995</v>
      </c>
      <c r="H10" s="4">
        <f t="shared" si="0"/>
        <v>32253603.620000005</v>
      </c>
      <c r="I10" s="4">
        <v>89250000</v>
      </c>
      <c r="J10" s="4">
        <v>87509806.799999997</v>
      </c>
      <c r="K10" s="4">
        <f t="shared" si="1"/>
        <v>1740193.200000003</v>
      </c>
      <c r="L10" s="4">
        <f>+'202501anual'!F10</f>
        <v>89250000</v>
      </c>
      <c r="M10" s="4">
        <v>60220026.88000001</v>
      </c>
      <c r="N10" s="4">
        <f t="shared" si="2"/>
        <v>29029973.11999999</v>
      </c>
      <c r="O10" s="4">
        <f>+'202501anual'!G10</f>
        <v>89250000</v>
      </c>
      <c r="P10" s="4">
        <f>+[15]flujo2025!$F$9</f>
        <v>62415677.389999993</v>
      </c>
      <c r="Q10" s="4">
        <f t="shared" si="3"/>
        <v>26834322.610000007</v>
      </c>
      <c r="R10" s="4">
        <f>+'202501anual'!H10</f>
        <v>89250000</v>
      </c>
      <c r="S10" s="4">
        <v>51129663.710000001</v>
      </c>
      <c r="T10" s="4">
        <f t="shared" si="4"/>
        <v>38120336.289999999</v>
      </c>
      <c r="U10" s="4">
        <f>+'202501anual'!I10</f>
        <v>89250000</v>
      </c>
      <c r="V10" s="4">
        <v>61800537.219999999</v>
      </c>
      <c r="W10" s="4">
        <f t="shared" si="11"/>
        <v>27449462.780000001</v>
      </c>
      <c r="X10" s="4">
        <f>+'202501anual'!I10</f>
        <v>89250000</v>
      </c>
      <c r="Y10" s="88">
        <v>55969753.140000001</v>
      </c>
      <c r="Z10" s="4">
        <f t="shared" si="15"/>
        <v>33280246.859999999</v>
      </c>
      <c r="AA10" s="4">
        <f>+'202501anual'!K10</f>
        <v>89250000</v>
      </c>
      <c r="AB10" s="4">
        <f>+[16]Factrecaudocartera2025!$Q$75+[16]Factrecaudocartera2025!$Q$81</f>
        <v>76678380.790000007</v>
      </c>
      <c r="AC10" s="4">
        <f t="shared" si="5"/>
        <v>12571619.209999993</v>
      </c>
      <c r="AD10" s="4">
        <f>+'202501anual'!K10</f>
        <v>89250000</v>
      </c>
      <c r="AE10" s="4">
        <f>+[17]flujo2025!$K$9</f>
        <v>65996149.579999998</v>
      </c>
      <c r="AF10" s="4">
        <f t="shared" si="6"/>
        <v>23253850.420000002</v>
      </c>
      <c r="AG10" s="4">
        <f>+'202501anual'!L10</f>
        <v>89250000</v>
      </c>
      <c r="AH10" s="4">
        <f>+[18]Factrecaudocartera2025!$Q$75+[18]Factrecaudocartera2025!$Q$81</f>
        <v>52351359.730000004</v>
      </c>
      <c r="AI10" s="4">
        <f t="shared" si="7"/>
        <v>36898640.269999996</v>
      </c>
      <c r="AJ10" s="4">
        <f>+'202501anual'!N10</f>
        <v>89250000</v>
      </c>
      <c r="AK10" s="4">
        <f>+[19]Factrecaudocartera2025!$M$48</f>
        <v>59618888.679999992</v>
      </c>
      <c r="AL10" s="4">
        <f t="shared" si="8"/>
        <v>29631111.320000008</v>
      </c>
      <c r="AM10" s="4">
        <f t="shared" si="12"/>
        <v>1071000000</v>
      </c>
      <c r="AN10" s="4">
        <f t="shared" si="13"/>
        <v>755828224.68999994</v>
      </c>
      <c r="AO10" s="4">
        <f t="shared" si="14"/>
        <v>315171775.31000006</v>
      </c>
      <c r="AP10" s="43">
        <f t="shared" si="9"/>
        <v>0.29427803483660137</v>
      </c>
      <c r="AQ10" s="34"/>
      <c r="AR10" s="34"/>
      <c r="AS10" s="2"/>
      <c r="AY10" s="2"/>
    </row>
    <row r="11" spans="1:51" x14ac:dyDescent="0.25">
      <c r="A11" s="5" t="s">
        <v>190</v>
      </c>
      <c r="B11" s="4">
        <v>9715050.7271705717</v>
      </c>
      <c r="C11" s="4">
        <v>809587.56059754756</v>
      </c>
      <c r="D11" s="4">
        <v>360607.31</v>
      </c>
      <c r="E11" s="4">
        <f t="shared" si="10"/>
        <v>448980.25059754757</v>
      </c>
      <c r="F11" s="4">
        <v>809587.56059754756</v>
      </c>
      <c r="G11" s="4">
        <v>288942.13</v>
      </c>
      <c r="H11" s="4">
        <f t="shared" si="0"/>
        <v>520645.43059754756</v>
      </c>
      <c r="I11" s="4">
        <v>809587.56059754756</v>
      </c>
      <c r="J11" s="4">
        <v>487589.32999999996</v>
      </c>
      <c r="K11" s="4">
        <f t="shared" si="1"/>
        <v>321998.2305975476</v>
      </c>
      <c r="L11" s="4">
        <f>+'202501anual'!F11+'202501anual'!F12</f>
        <v>809587.56059754756</v>
      </c>
      <c r="M11" s="4">
        <v>347380.47</v>
      </c>
      <c r="N11" s="4">
        <f t="shared" si="2"/>
        <v>462207.09059754759</v>
      </c>
      <c r="O11" s="4">
        <f>+'202501anual'!G11+'202501anual'!G12</f>
        <v>809587.56059754756</v>
      </c>
      <c r="P11" s="4">
        <f>+[15]flujo2025!$F$11</f>
        <v>284586.01</v>
      </c>
      <c r="Q11" s="4">
        <f t="shared" si="3"/>
        <v>525001.55059754755</v>
      </c>
      <c r="R11" s="4">
        <f>+'202501anual'!H11+'202501anual'!H12</f>
        <v>809587.56059754756</v>
      </c>
      <c r="S11" s="4">
        <v>140455.67000000001</v>
      </c>
      <c r="T11" s="4">
        <f t="shared" si="4"/>
        <v>669131.89059754752</v>
      </c>
      <c r="U11" s="4">
        <f>+'202501anual'!I11+'202501anual'!I12</f>
        <v>809587.56059754756</v>
      </c>
      <c r="V11" s="4">
        <v>280325.52</v>
      </c>
      <c r="W11" s="4">
        <f t="shared" si="11"/>
        <v>529262.04059754754</v>
      </c>
      <c r="X11" s="4">
        <f>+'202501anual'!I11+'202501anual'!I12</f>
        <v>809587.56059754756</v>
      </c>
      <c r="Y11" s="4">
        <v>858474</v>
      </c>
      <c r="Z11" s="4">
        <f t="shared" si="15"/>
        <v>-48886.439402452437</v>
      </c>
      <c r="AA11" s="4">
        <f>+'202501anual'!K11+'202501anual'!K12</f>
        <v>809587.56059754756</v>
      </c>
      <c r="AB11" s="4">
        <f>+[16]Factrecaudocartera2025!$P$75+[16]Factrecaudocartera2025!$P$81</f>
        <v>96630.92</v>
      </c>
      <c r="AC11" s="4">
        <f t="shared" si="5"/>
        <v>712956.64059754752</v>
      </c>
      <c r="AD11" s="4">
        <f>+'202501anual'!K11+'202501anual'!K12</f>
        <v>809587.56059754756</v>
      </c>
      <c r="AE11" s="4">
        <f>+[17]flujo2025!$K$11</f>
        <v>240202.69</v>
      </c>
      <c r="AF11" s="4">
        <f t="shared" si="6"/>
        <v>569384.87059754762</v>
      </c>
      <c r="AG11" s="4">
        <f>+'202501anual'!L11+'202501anual'!L12</f>
        <v>809587.56059754756</v>
      </c>
      <c r="AH11" s="4">
        <f>+[18]Factrecaudocartera2025!$P$81</f>
        <v>193150.61</v>
      </c>
      <c r="AI11" s="4">
        <f t="shared" si="7"/>
        <v>616436.95059754758</v>
      </c>
      <c r="AJ11" s="4">
        <f>+'202501anual'!N11+'202501anual'!N12</f>
        <v>809587.56059754756</v>
      </c>
      <c r="AK11" s="4">
        <f>+[19]Factrecaudocartera2025!$M$47</f>
        <v>106326.82</v>
      </c>
      <c r="AL11" s="4">
        <f t="shared" si="8"/>
        <v>703260.7405975475</v>
      </c>
      <c r="AM11" s="4">
        <f t="shared" si="12"/>
        <v>9715050.7271705698</v>
      </c>
      <c r="AN11" s="4">
        <f t="shared" si="13"/>
        <v>3684671.4799999995</v>
      </c>
      <c r="AO11" s="4">
        <f t="shared" si="14"/>
        <v>6030379.2471705703</v>
      </c>
      <c r="AP11" s="43">
        <f t="shared" si="9"/>
        <v>0.6207254513149485</v>
      </c>
      <c r="AQ11" s="34"/>
      <c r="AR11" s="34"/>
      <c r="AS11" s="2"/>
      <c r="AT11" s="2"/>
      <c r="AY11" s="2"/>
    </row>
    <row r="12" spans="1:51" hidden="1" x14ac:dyDescent="0.25">
      <c r="A12" s="5" t="s">
        <v>190</v>
      </c>
      <c r="B12" s="4">
        <v>0</v>
      </c>
      <c r="C12" s="4">
        <v>0</v>
      </c>
      <c r="D12" s="112">
        <v>0</v>
      </c>
      <c r="E12" s="4">
        <f t="shared" si="10"/>
        <v>0</v>
      </c>
      <c r="F12" s="4"/>
      <c r="G12" s="4"/>
      <c r="H12" s="4">
        <f t="shared" si="0"/>
        <v>0</v>
      </c>
      <c r="I12" s="4"/>
      <c r="J12" s="4"/>
      <c r="K12" s="4">
        <f t="shared" si="1"/>
        <v>0</v>
      </c>
      <c r="L12" s="4"/>
      <c r="M12" s="4"/>
      <c r="N12" s="4">
        <f t="shared" si="2"/>
        <v>0</v>
      </c>
      <c r="O12" s="4"/>
      <c r="P12" s="4"/>
      <c r="Q12" s="4">
        <f t="shared" si="3"/>
        <v>0</v>
      </c>
      <c r="R12" s="4">
        <v>0</v>
      </c>
      <c r="S12" s="4"/>
      <c r="T12" s="4">
        <f t="shared" si="4"/>
        <v>0</v>
      </c>
      <c r="U12" s="4"/>
      <c r="V12" s="4"/>
      <c r="W12" s="4">
        <f t="shared" si="11"/>
        <v>0</v>
      </c>
      <c r="X12" s="4"/>
      <c r="Y12" s="4"/>
      <c r="Z12" s="4">
        <f t="shared" si="15"/>
        <v>0</v>
      </c>
      <c r="AA12" s="4"/>
      <c r="AB12" s="4"/>
      <c r="AC12" s="4">
        <f t="shared" si="5"/>
        <v>0</v>
      </c>
      <c r="AD12" s="4"/>
      <c r="AE12" s="4"/>
      <c r="AF12" s="4">
        <f t="shared" si="6"/>
        <v>0</v>
      </c>
      <c r="AG12" s="4"/>
      <c r="AH12" s="4"/>
      <c r="AI12" s="4">
        <f t="shared" si="7"/>
        <v>0</v>
      </c>
      <c r="AJ12" s="4">
        <v>0</v>
      </c>
      <c r="AK12" s="4"/>
      <c r="AL12" s="4">
        <f t="shared" si="8"/>
        <v>0</v>
      </c>
      <c r="AM12" s="4">
        <f t="shared" si="12"/>
        <v>0</v>
      </c>
      <c r="AN12" s="4">
        <f t="shared" si="13"/>
        <v>0</v>
      </c>
      <c r="AO12" s="4">
        <f t="shared" si="14"/>
        <v>0</v>
      </c>
      <c r="AP12" s="43" t="e">
        <f t="shared" si="9"/>
        <v>#DIV/0!</v>
      </c>
      <c r="AQ12" s="34"/>
      <c r="AR12" s="34"/>
      <c r="AS12" s="2"/>
      <c r="AT12" s="2"/>
      <c r="AY12" s="2"/>
    </row>
    <row r="13" spans="1:51" x14ac:dyDescent="0.25">
      <c r="A13" s="5" t="s">
        <v>177</v>
      </c>
      <c r="B13" s="4">
        <v>0</v>
      </c>
      <c r="C13" s="4"/>
      <c r="D13" s="4">
        <v>36936117.219999999</v>
      </c>
      <c r="E13" s="4">
        <f t="shared" si="10"/>
        <v>-36936117.219999999</v>
      </c>
      <c r="F13" s="4"/>
      <c r="G13" s="4">
        <v>0</v>
      </c>
      <c r="H13" s="4">
        <f t="shared" si="0"/>
        <v>0</v>
      </c>
      <c r="I13" s="4">
        <v>0</v>
      </c>
      <c r="J13" s="4">
        <v>86185711.870000005</v>
      </c>
      <c r="K13" s="4">
        <f t="shared" si="1"/>
        <v>-86185711.870000005</v>
      </c>
      <c r="L13" s="4"/>
      <c r="M13" s="4">
        <v>0</v>
      </c>
      <c r="N13" s="4">
        <f t="shared" si="2"/>
        <v>0</v>
      </c>
      <c r="O13" s="4"/>
      <c r="P13" s="4">
        <f>+[15]flujo2025!$F$13</f>
        <v>121605173</v>
      </c>
      <c r="Q13" s="4">
        <f t="shared" si="3"/>
        <v>-121605173</v>
      </c>
      <c r="R13" s="4">
        <v>0</v>
      </c>
      <c r="S13" s="4">
        <v>67451012</v>
      </c>
      <c r="T13" s="4">
        <f t="shared" si="4"/>
        <v>-67451012</v>
      </c>
      <c r="U13" s="4">
        <v>0</v>
      </c>
      <c r="V13" s="4">
        <v>66293700</v>
      </c>
      <c r="W13" s="4">
        <f t="shared" si="11"/>
        <v>-66293700</v>
      </c>
      <c r="X13" s="4">
        <v>0</v>
      </c>
      <c r="Y13" s="4"/>
      <c r="Z13" s="4">
        <f t="shared" si="15"/>
        <v>0</v>
      </c>
      <c r="AA13" s="4">
        <v>0</v>
      </c>
      <c r="AB13" s="4">
        <f>+[16]Factrecaudocartera2025!$V$90</f>
        <v>153246748</v>
      </c>
      <c r="AC13" s="4">
        <f t="shared" si="5"/>
        <v>-153246748</v>
      </c>
      <c r="AD13" s="4"/>
      <c r="AE13" s="4">
        <f>+[17]flujo2025!$K$13</f>
        <v>45615960</v>
      </c>
      <c r="AF13" s="4">
        <f t="shared" si="6"/>
        <v>-45615960</v>
      </c>
      <c r="AG13" s="4"/>
      <c r="AH13" s="4">
        <f>+[18]Factrecaudocartera2025!$V$83+[18]Factrecaudocartera2025!$V$84</f>
        <v>129101992</v>
      </c>
      <c r="AI13" s="4">
        <f t="shared" si="7"/>
        <v>-129101992</v>
      </c>
      <c r="AJ13" s="4">
        <v>0</v>
      </c>
      <c r="AK13" s="4">
        <v>0</v>
      </c>
      <c r="AL13" s="4">
        <f t="shared" si="8"/>
        <v>0</v>
      </c>
      <c r="AM13" s="4">
        <f t="shared" si="12"/>
        <v>0</v>
      </c>
      <c r="AN13" s="4">
        <f>+D13+G13+J13+M13+P13+S13+V13+Y13+AB13+AE13+AH13+AK13</f>
        <v>706436414.09000003</v>
      </c>
      <c r="AO13" s="4">
        <f t="shared" si="14"/>
        <v>-706436414.09000003</v>
      </c>
      <c r="AP13" s="29" t="e">
        <f>+AO13/AM13</f>
        <v>#DIV/0!</v>
      </c>
      <c r="AQ13" s="34"/>
      <c r="AR13" s="34"/>
      <c r="AS13" s="2"/>
      <c r="AT13" s="2"/>
      <c r="AY13" s="2"/>
    </row>
    <row r="14" spans="1:51" x14ac:dyDescent="0.25">
      <c r="A14" s="5" t="s">
        <v>175</v>
      </c>
      <c r="B14" s="4">
        <v>85000000</v>
      </c>
      <c r="C14" s="4">
        <v>2500000</v>
      </c>
      <c r="D14" s="4">
        <v>0</v>
      </c>
      <c r="E14" s="4">
        <f t="shared" si="10"/>
        <v>2500000</v>
      </c>
      <c r="F14" s="4">
        <v>2500000</v>
      </c>
      <c r="G14" s="4">
        <v>3621569.13</v>
      </c>
      <c r="H14" s="4">
        <f t="shared" si="0"/>
        <v>-1121569.1299999999</v>
      </c>
      <c r="I14" s="4">
        <v>8000000</v>
      </c>
      <c r="J14" s="4">
        <v>6891892.54</v>
      </c>
      <c r="K14" s="4">
        <f t="shared" si="1"/>
        <v>1108107.46</v>
      </c>
      <c r="L14" s="4">
        <f>+'202501anual'!F13</f>
        <v>8000000</v>
      </c>
      <c r="M14" s="4">
        <v>4833517.57</v>
      </c>
      <c r="N14" s="4">
        <f t="shared" si="2"/>
        <v>3166482.4299999997</v>
      </c>
      <c r="O14" s="4">
        <f>+'202501anual'!G13</f>
        <v>8000000</v>
      </c>
      <c r="P14" s="4">
        <f>+[15]flujo2025!$F$12</f>
        <v>4165865.6700000004</v>
      </c>
      <c r="Q14" s="4">
        <f t="shared" si="3"/>
        <v>3834134.3299999996</v>
      </c>
      <c r="R14" s="4">
        <f>+'202501anual'!H13</f>
        <v>8000000</v>
      </c>
      <c r="S14" s="4">
        <v>3144587.83</v>
      </c>
      <c r="T14" s="4">
        <f t="shared" si="4"/>
        <v>4855412.17</v>
      </c>
      <c r="U14" s="4">
        <f>+'202501anual'!I13</f>
        <v>8000000</v>
      </c>
      <c r="V14" s="4">
        <v>4085214.35</v>
      </c>
      <c r="W14" s="4">
        <f t="shared" si="11"/>
        <v>3914785.65</v>
      </c>
      <c r="X14" s="4">
        <f>+'202501anual'!I13</f>
        <v>8000000</v>
      </c>
      <c r="Y14" s="4">
        <v>3241492.7399999998</v>
      </c>
      <c r="Z14" s="4">
        <f t="shared" si="15"/>
        <v>4758507.26</v>
      </c>
      <c r="AA14" s="4">
        <f>+'202501anual'!K13</f>
        <v>8000000</v>
      </c>
      <c r="AB14" s="4">
        <f>+[16]Factrecaudocartera2025!$J$52</f>
        <v>5804333.8299999991</v>
      </c>
      <c r="AC14" s="4">
        <f t="shared" si="5"/>
        <v>2195666.1700000009</v>
      </c>
      <c r="AD14" s="4">
        <f>+'202501anual'!L13</f>
        <v>8000000</v>
      </c>
      <c r="AE14" s="4">
        <f>+[17]flujo2025!$K$12</f>
        <v>3468634.98</v>
      </c>
      <c r="AF14" s="4">
        <f t="shared" si="6"/>
        <v>4531365.0199999996</v>
      </c>
      <c r="AG14" s="4">
        <f>+'202501anual'!L13</f>
        <v>8000000</v>
      </c>
      <c r="AH14" s="4">
        <f>+[18]Factrecaudocartera2025!$S$87</f>
        <v>2873182.8400000003</v>
      </c>
      <c r="AI14" s="4">
        <f t="shared" si="7"/>
        <v>5126817.16</v>
      </c>
      <c r="AJ14" s="4">
        <f>+'202501anual'!N13</f>
        <v>8000000</v>
      </c>
      <c r="AK14" s="4">
        <f>+[19]Factrecaudocartera2025!$M$52</f>
        <v>3588879.45</v>
      </c>
      <c r="AL14" s="4">
        <f t="shared" si="8"/>
        <v>4411120.55</v>
      </c>
      <c r="AM14" s="4">
        <f t="shared" si="12"/>
        <v>85000000</v>
      </c>
      <c r="AN14" s="4">
        <f t="shared" si="13"/>
        <v>45719170.930000007</v>
      </c>
      <c r="AO14" s="4">
        <f t="shared" si="14"/>
        <v>39280829.069999993</v>
      </c>
      <c r="AP14" s="29">
        <f>+AO14/AM14</f>
        <v>0.46212740082352932</v>
      </c>
      <c r="AQ14" s="34"/>
      <c r="AR14" s="34"/>
      <c r="AS14" s="2"/>
      <c r="AT14" s="114" t="s">
        <v>199</v>
      </c>
      <c r="AU14" s="96" t="s">
        <v>182</v>
      </c>
      <c r="AV14" t="s">
        <v>212</v>
      </c>
      <c r="AY14" s="2"/>
    </row>
    <row r="15" spans="1:51" x14ac:dyDescent="0.25">
      <c r="A15" s="5" t="s">
        <v>124</v>
      </c>
      <c r="B15" s="4">
        <v>6158975091</v>
      </c>
      <c r="C15" s="4">
        <v>0</v>
      </c>
      <c r="D15" s="4">
        <v>1200000000</v>
      </c>
      <c r="E15" s="4">
        <f t="shared" si="10"/>
        <v>-1200000000</v>
      </c>
      <c r="F15" s="4">
        <v>0</v>
      </c>
      <c r="G15" s="4">
        <v>0</v>
      </c>
      <c r="H15" s="4">
        <f t="shared" si="0"/>
        <v>0</v>
      </c>
      <c r="I15" s="4">
        <v>4252695959</v>
      </c>
      <c r="J15" s="4">
        <v>0</v>
      </c>
      <c r="K15" s="4">
        <f t="shared" si="1"/>
        <v>4252695959</v>
      </c>
      <c r="L15" s="4">
        <f>+'202501anual'!F14</f>
        <v>0</v>
      </c>
      <c r="M15" s="4"/>
      <c r="N15" s="4"/>
      <c r="O15" s="4"/>
      <c r="P15" s="4"/>
      <c r="Q15" s="4">
        <f t="shared" si="3"/>
        <v>0</v>
      </c>
      <c r="R15" s="4">
        <v>0</v>
      </c>
      <c r="S15" s="4"/>
      <c r="T15" s="4"/>
      <c r="U15" s="4"/>
      <c r="V15" s="4"/>
      <c r="W15" s="4">
        <f t="shared" si="11"/>
        <v>0</v>
      </c>
      <c r="X15" s="4">
        <f>1906279131.95</f>
        <v>1906279131.95</v>
      </c>
      <c r="Y15" s="4">
        <v>0</v>
      </c>
      <c r="Z15" s="4">
        <f t="shared" si="15"/>
        <v>1906279131.95</v>
      </c>
      <c r="AA15" s="4"/>
      <c r="AB15" s="4"/>
      <c r="AC15" s="4">
        <f t="shared" si="5"/>
        <v>0</v>
      </c>
      <c r="AD15" s="4">
        <v>0</v>
      </c>
      <c r="AE15" s="4">
        <f>+[17]flujo2025!$K$14</f>
        <v>2266909877.8699999</v>
      </c>
      <c r="AF15" s="4">
        <f t="shared" si="6"/>
        <v>-2266909877.8699999</v>
      </c>
      <c r="AG15" s="4"/>
      <c r="AH15" s="4"/>
      <c r="AI15" s="4"/>
      <c r="AJ15" s="4"/>
      <c r="AK15" s="4"/>
      <c r="AL15" s="4">
        <f t="shared" si="8"/>
        <v>0</v>
      </c>
      <c r="AM15" s="4">
        <f t="shared" si="12"/>
        <v>6158975090.9499998</v>
      </c>
      <c r="AN15" s="4">
        <f t="shared" si="13"/>
        <v>3466909877.8699999</v>
      </c>
      <c r="AO15" s="4">
        <f t="shared" si="14"/>
        <v>2692065213.0799999</v>
      </c>
      <c r="AP15" s="43">
        <f>+AO15/AM15</f>
        <v>0.43709629821944262</v>
      </c>
      <c r="AQ15" s="34"/>
      <c r="AR15" s="34"/>
      <c r="AS15" s="156" t="s">
        <v>209</v>
      </c>
      <c r="AT15" s="157">
        <v>6000000</v>
      </c>
      <c r="AU15" s="157">
        <v>1725000</v>
      </c>
      <c r="AV15" s="157">
        <f>+AT15-AU15</f>
        <v>4275000</v>
      </c>
      <c r="AY15" s="2"/>
    </row>
    <row r="16" spans="1:51" ht="18.75" x14ac:dyDescent="0.3">
      <c r="A16" s="11" t="s">
        <v>2</v>
      </c>
      <c r="B16" s="7">
        <f>SUM(B6:B15)</f>
        <v>8532749985.6909485</v>
      </c>
      <c r="C16" s="7">
        <f>SUM(C6:C15)</f>
        <v>193231241.22424567</v>
      </c>
      <c r="D16" s="7">
        <f>SUM(D6:D15)</f>
        <v>1360462178.79</v>
      </c>
      <c r="E16" s="7">
        <f t="shared" ref="E16:AL16" si="16">SUM(E6:E15)</f>
        <v>-1167230937.5657544</v>
      </c>
      <c r="F16" s="7">
        <f>SUM(F6:F15)</f>
        <v>193231241.22424564</v>
      </c>
      <c r="G16" s="7">
        <f t="shared" si="16"/>
        <v>113731093.84999999</v>
      </c>
      <c r="H16" s="7">
        <f t="shared" si="16"/>
        <v>79500147.374245644</v>
      </c>
      <c r="I16" s="7">
        <f t="shared" si="16"/>
        <v>4451427200.224246</v>
      </c>
      <c r="J16" s="7">
        <f>SUM(J6:J15)</f>
        <v>264526679.56999999</v>
      </c>
      <c r="K16" s="7">
        <f t="shared" si="16"/>
        <v>4186900520.6542459</v>
      </c>
      <c r="L16" s="7">
        <f t="shared" si="16"/>
        <v>198731241.22424567</v>
      </c>
      <c r="M16" s="7">
        <f>SUM(M6:M15)</f>
        <v>131540034.97999999</v>
      </c>
      <c r="N16" s="7">
        <f t="shared" si="16"/>
        <v>67191206.244245648</v>
      </c>
      <c r="O16" s="7">
        <f>SUM(O6:O15)</f>
        <v>198731241.22424567</v>
      </c>
      <c r="P16" s="7">
        <f>SUM(P6:P15)</f>
        <v>260179085.61999997</v>
      </c>
      <c r="Q16" s="7">
        <f t="shared" si="16"/>
        <v>-61447844.395754345</v>
      </c>
      <c r="R16" s="7">
        <f>SUM(R6:R15)</f>
        <v>198731241.22424567</v>
      </c>
      <c r="S16" s="7">
        <f>SUM(S6:S15)</f>
        <v>174869439.59999999</v>
      </c>
      <c r="T16" s="7">
        <f>SUM(T6:T15)</f>
        <v>23861801.624245659</v>
      </c>
      <c r="U16" s="7">
        <f t="shared" si="16"/>
        <v>198731241.22424567</v>
      </c>
      <c r="V16" s="7">
        <f t="shared" si="16"/>
        <v>200672866.72999999</v>
      </c>
      <c r="W16" s="7">
        <f t="shared" si="16"/>
        <v>-1941625.5057543353</v>
      </c>
      <c r="X16" s="7">
        <f t="shared" si="16"/>
        <v>2105010373.1742458</v>
      </c>
      <c r="Y16" s="7">
        <f>SUM(Y6:Y15)</f>
        <v>117965389.73999999</v>
      </c>
      <c r="Z16" s="7">
        <f t="shared" si="16"/>
        <v>1987044983.4342458</v>
      </c>
      <c r="AA16" s="7">
        <f t="shared" si="16"/>
        <v>198731241.22424567</v>
      </c>
      <c r="AB16" s="7">
        <f>SUM(AB6:AB15)</f>
        <v>305833141.54000002</v>
      </c>
      <c r="AC16" s="7">
        <f t="shared" si="16"/>
        <v>-107101900.31575434</v>
      </c>
      <c r="AD16" s="7">
        <f t="shared" si="16"/>
        <v>198731241.22424567</v>
      </c>
      <c r="AE16" s="7">
        <f>SUM(AE6:AE15)</f>
        <v>2436559108.04</v>
      </c>
      <c r="AF16" s="7">
        <f>SUM(AF6:AF15)</f>
        <v>-2237827866.8157544</v>
      </c>
      <c r="AG16" s="7">
        <f t="shared" si="16"/>
        <v>198731241.22424567</v>
      </c>
      <c r="AH16" s="7">
        <f t="shared" si="16"/>
        <v>229958970.21000001</v>
      </c>
      <c r="AI16" s="7">
        <f t="shared" si="16"/>
        <v>-31227728.985754337</v>
      </c>
      <c r="AJ16" s="7">
        <f t="shared" si="16"/>
        <v>198731241.22424567</v>
      </c>
      <c r="AK16" s="7">
        <f>SUM(AK6:AK15)</f>
        <v>111293684.84999998</v>
      </c>
      <c r="AL16" s="7">
        <f t="shared" si="16"/>
        <v>87437556.374245659</v>
      </c>
      <c r="AM16" s="7">
        <f>SUM(AM6:AM15)</f>
        <v>8532749985.6409473</v>
      </c>
      <c r="AN16" s="7">
        <f>SUM(AN6:AN15)</f>
        <v>5707591673.5199995</v>
      </c>
      <c r="AO16" s="7">
        <f>SUM(AO6:AO15)</f>
        <v>2825158312.1209478</v>
      </c>
      <c r="AP16" s="31">
        <f>+AO16/AM16</f>
        <v>0.33109587376580479</v>
      </c>
      <c r="AQ16" s="34"/>
      <c r="AR16" s="50">
        <f>AL16/AJ16</f>
        <v>0.43997891743443746</v>
      </c>
      <c r="AS16" s="157" t="s">
        <v>210</v>
      </c>
      <c r="AT16" s="157">
        <v>2500000</v>
      </c>
      <c r="AU16" s="157">
        <v>0</v>
      </c>
      <c r="AV16" s="157">
        <f>+AT16-AU16</f>
        <v>2500000</v>
      </c>
      <c r="AX16" s="148"/>
      <c r="AY16" s="2"/>
    </row>
    <row r="17" spans="1:53" x14ac:dyDescent="0.25">
      <c r="A17" s="5" t="s">
        <v>36</v>
      </c>
      <c r="B17" s="4">
        <v>1033405164.3971511</v>
      </c>
      <c r="C17" s="4">
        <v>86117097.033095926</v>
      </c>
      <c r="D17" s="4">
        <v>80344550</v>
      </c>
      <c r="E17" s="4">
        <f t="shared" ref="E17:E26" si="17">+C17-D17</f>
        <v>5772547.033095926</v>
      </c>
      <c r="F17" s="4">
        <v>86117097.033095926</v>
      </c>
      <c r="G17" s="4">
        <f>+[20]Resultados!$D$9-[20]Resultados!$D$26</f>
        <v>70925387</v>
      </c>
      <c r="H17" s="4">
        <f t="shared" si="0"/>
        <v>15191710.033095926</v>
      </c>
      <c r="I17" s="4">
        <v>86117097.033095926</v>
      </c>
      <c r="J17" s="4">
        <v>70208802</v>
      </c>
      <c r="K17" s="4">
        <f t="shared" si="1"/>
        <v>15908295.033095926</v>
      </c>
      <c r="L17" s="4">
        <f>+'202501anual'!F16</f>
        <v>86117097.033095926</v>
      </c>
      <c r="M17" s="4">
        <f>77215894-115500</f>
        <v>77100394</v>
      </c>
      <c r="N17" s="4">
        <f t="shared" ref="N17:N23" si="18">+L17-M17</f>
        <v>9016703.033095926</v>
      </c>
      <c r="O17" s="4">
        <f>+'202501anual'!G16</f>
        <v>86117097.033095926</v>
      </c>
      <c r="P17" s="4">
        <f>+[21]Resultados!$G$9</f>
        <v>74856954</v>
      </c>
      <c r="Q17" s="4">
        <f t="shared" ref="Q17:Q23" si="19">+O17-P17</f>
        <v>11260143.033095926</v>
      </c>
      <c r="R17" s="4">
        <f>+'202501anual'!H16</f>
        <v>86117097.033095926</v>
      </c>
      <c r="S17" s="4">
        <v>74856954</v>
      </c>
      <c r="T17" s="4">
        <f t="shared" ref="T17:T23" si="20">+R17-S17</f>
        <v>11260143.033095926</v>
      </c>
      <c r="U17" s="4">
        <f>+'202501anual'!I16</f>
        <v>86117097.033095926</v>
      </c>
      <c r="V17" s="4">
        <f>+[22]Resultados!$I$9</f>
        <v>73638977.340000004</v>
      </c>
      <c r="W17" s="4">
        <f t="shared" ref="W17:W23" si="21">+U17-V17</f>
        <v>12478119.693095922</v>
      </c>
      <c r="X17" s="4">
        <f>+'202501anual'!J16</f>
        <v>86117097.033095926</v>
      </c>
      <c r="Y17" s="4">
        <v>71657921</v>
      </c>
      <c r="Z17" s="4">
        <f t="shared" ref="Z17:Z23" si="22">+X17-Y17</f>
        <v>14459176.033095926</v>
      </c>
      <c r="AA17" s="4">
        <f>+'202501anual'!K16</f>
        <v>86117097.033095926</v>
      </c>
      <c r="AB17" s="4">
        <f>+[23]Resultados!$K$9</f>
        <v>75645801.620000005</v>
      </c>
      <c r="AC17" s="4">
        <f t="shared" si="5"/>
        <v>10471295.413095921</v>
      </c>
      <c r="AD17" s="4">
        <f>+'202501anual'!L16</f>
        <v>86117097.033095926</v>
      </c>
      <c r="AE17" s="4">
        <f>+[24]Resultados!$L$9</f>
        <v>71786044</v>
      </c>
      <c r="AF17" s="4">
        <f t="shared" ref="AF17:AF23" si="23">+AD17-AE17</f>
        <v>14331053.033095926</v>
      </c>
      <c r="AG17" s="4">
        <f>+'202501anual'!M16</f>
        <v>86117097.033095926</v>
      </c>
      <c r="AH17" s="4">
        <f>+[25]Resultados!$M$9</f>
        <v>71676477</v>
      </c>
      <c r="AI17" s="4">
        <f>+AG17-AH17</f>
        <v>14440620.033095926</v>
      </c>
      <c r="AJ17" s="4">
        <f>+'202501anual'!N16</f>
        <v>86117097.033095926</v>
      </c>
      <c r="AK17" s="4">
        <f>+[26]Resultados!$N$9</f>
        <v>69949209</v>
      </c>
      <c r="AL17" s="4">
        <f t="shared" si="8"/>
        <v>16167888.033095926</v>
      </c>
      <c r="AM17" s="4">
        <f>+C17+F17+I17+L17+O17+R17+U17+X17+AA17+AD17+AG17+AJ17</f>
        <v>1033405164.3971514</v>
      </c>
      <c r="AN17" s="4">
        <f t="shared" ref="AN17:AN23" si="24">+D17+G17+J17+M17+P17+S17+V17+Y17+AB17+AE17+AH17+AK17</f>
        <v>882647470.96000004</v>
      </c>
      <c r="AO17" s="4">
        <f>+AM17-AN17</f>
        <v>150757693.43715131</v>
      </c>
      <c r="AP17" s="43">
        <f t="shared" ref="AP17:AP23" si="25">+AO17/AM17</f>
        <v>0.14588440103751324</v>
      </c>
      <c r="AQ17" s="34"/>
      <c r="AR17" s="36"/>
      <c r="AS17" s="158" t="s">
        <v>211</v>
      </c>
      <c r="AT17" s="157">
        <v>6000000</v>
      </c>
      <c r="AU17" s="157">
        <v>0</v>
      </c>
      <c r="AV17" s="157">
        <f>+AT17-AU17</f>
        <v>6000000</v>
      </c>
      <c r="AX17" s="148"/>
      <c r="AY17" s="2"/>
    </row>
    <row r="18" spans="1:53" ht="45" hidden="1" x14ac:dyDescent="0.25">
      <c r="A18" s="21" t="s">
        <v>65</v>
      </c>
      <c r="B18" s="4">
        <v>0</v>
      </c>
      <c r="C18" s="4">
        <v>0</v>
      </c>
      <c r="D18" s="4">
        <v>0</v>
      </c>
      <c r="E18" s="4">
        <f t="shared" si="17"/>
        <v>0</v>
      </c>
      <c r="F18" s="4"/>
      <c r="G18" s="4"/>
      <c r="H18" s="4">
        <f t="shared" si="0"/>
        <v>0</v>
      </c>
      <c r="I18" s="4"/>
      <c r="J18" s="4"/>
      <c r="K18" s="4">
        <f t="shared" si="1"/>
        <v>0</v>
      </c>
      <c r="L18" s="4"/>
      <c r="M18" s="4"/>
      <c r="N18" s="4">
        <f t="shared" si="18"/>
        <v>0</v>
      </c>
      <c r="O18" s="4"/>
      <c r="P18" s="4"/>
      <c r="Q18" s="4">
        <f t="shared" si="19"/>
        <v>0</v>
      </c>
      <c r="R18" s="4"/>
      <c r="S18" s="4"/>
      <c r="T18" s="4">
        <f t="shared" si="20"/>
        <v>0</v>
      </c>
      <c r="U18" s="4"/>
      <c r="V18" s="4"/>
      <c r="W18" s="4">
        <f t="shared" si="21"/>
        <v>0</v>
      </c>
      <c r="X18" s="4"/>
      <c r="Y18" s="4"/>
      <c r="Z18" s="4">
        <f t="shared" si="22"/>
        <v>0</v>
      </c>
      <c r="AA18" s="4"/>
      <c r="AB18" s="4"/>
      <c r="AC18" s="4">
        <f t="shared" si="5"/>
        <v>0</v>
      </c>
      <c r="AD18" s="4"/>
      <c r="AE18" s="4"/>
      <c r="AF18" s="4">
        <f t="shared" si="23"/>
        <v>0</v>
      </c>
      <c r="AG18" s="4"/>
      <c r="AH18" s="4"/>
      <c r="AI18" s="4">
        <f t="shared" ref="AI18:AI26" si="26">+AG18-AH18</f>
        <v>0</v>
      </c>
      <c r="AJ18" s="4"/>
      <c r="AK18" s="4"/>
      <c r="AL18" s="4">
        <f t="shared" si="8"/>
        <v>0</v>
      </c>
      <c r="AM18" s="4">
        <f t="shared" ref="AM18:AM22" si="27">+C18+F18+I18+L18+O18+R18+U18+X18+AA18+AD18+AG18+AJ18</f>
        <v>0</v>
      </c>
      <c r="AN18" s="4">
        <f t="shared" si="24"/>
        <v>0</v>
      </c>
      <c r="AO18" s="4">
        <f t="shared" ref="AO18:AO23" si="28">+AM18-AN18</f>
        <v>0</v>
      </c>
      <c r="AP18" s="29" t="e">
        <f>+AO18/AM18</f>
        <v>#DIV/0!</v>
      </c>
      <c r="AQ18" s="34"/>
      <c r="AR18" s="36"/>
      <c r="AS18" s="157"/>
      <c r="AT18" s="157"/>
      <c r="AU18" s="157"/>
      <c r="AV18" s="157"/>
      <c r="AX18" s="148"/>
      <c r="AY18" s="2"/>
    </row>
    <row r="19" spans="1:53" x14ac:dyDescent="0.25">
      <c r="A19" s="5" t="s">
        <v>9</v>
      </c>
      <c r="B19" s="4">
        <v>290560958</v>
      </c>
      <c r="C19" s="4">
        <v>0</v>
      </c>
      <c r="D19" s="4">
        <v>0</v>
      </c>
      <c r="E19" s="4">
        <f t="shared" si="17"/>
        <v>0</v>
      </c>
      <c r="F19" s="4">
        <v>0</v>
      </c>
      <c r="G19" s="4">
        <f>+[27]EjecucionPptalPasiva!$N$299+[27]EjecucionPptalPasiva!$N$300</f>
        <v>28674381</v>
      </c>
      <c r="H19" s="4">
        <f t="shared" si="0"/>
        <v>-28674381</v>
      </c>
      <c r="I19" s="4">
        <v>0</v>
      </c>
      <c r="J19" s="4"/>
      <c r="K19" s="4">
        <f t="shared" si="1"/>
        <v>0</v>
      </c>
      <c r="L19" s="4">
        <f>+'202501anual'!F18</f>
        <v>39000000</v>
      </c>
      <c r="M19" s="4">
        <v>0</v>
      </c>
      <c r="N19" s="4">
        <f t="shared" si="18"/>
        <v>39000000</v>
      </c>
      <c r="O19" s="4">
        <f>+'202501anual'!G18</f>
        <v>42000000</v>
      </c>
      <c r="P19" s="4">
        <f>4682113+19292000</f>
        <v>23974113</v>
      </c>
      <c r="Q19" s="4">
        <f t="shared" si="19"/>
        <v>18025887</v>
      </c>
      <c r="R19" s="4">
        <f>+'202501anual'!H18</f>
        <v>27000000</v>
      </c>
      <c r="S19" s="4"/>
      <c r="T19" s="4">
        <f t="shared" si="20"/>
        <v>27000000</v>
      </c>
      <c r="U19" s="4">
        <f>+'202501anual'!I18</f>
        <v>34500000</v>
      </c>
      <c r="V19" s="4">
        <v>0</v>
      </c>
      <c r="W19" s="4">
        <f t="shared" si="21"/>
        <v>34500000</v>
      </c>
      <c r="X19" s="4">
        <f>+'202501anual'!J18</f>
        <v>46000000</v>
      </c>
      <c r="Y19" s="4">
        <v>9551856</v>
      </c>
      <c r="Z19" s="4">
        <f t="shared" si="22"/>
        <v>36448144</v>
      </c>
      <c r="AA19" s="4">
        <f>+'202501anual'!K18</f>
        <v>6000000</v>
      </c>
      <c r="AB19" s="4">
        <f>4572672+29768000</f>
        <v>34340672</v>
      </c>
      <c r="AC19" s="4">
        <f t="shared" si="5"/>
        <v>-28340672</v>
      </c>
      <c r="AD19" s="4">
        <f>+'202501anual'!L18</f>
        <v>38500000</v>
      </c>
      <c r="AE19" s="4">
        <f>2527500+1825530</f>
        <v>4353030</v>
      </c>
      <c r="AF19" s="4">
        <f t="shared" si="23"/>
        <v>34146970</v>
      </c>
      <c r="AG19" s="4">
        <f>+'202501anual'!M18</f>
        <v>14500000</v>
      </c>
      <c r="AH19" s="4">
        <v>1725000</v>
      </c>
      <c r="AI19" s="4">
        <f t="shared" si="26"/>
        <v>12775000</v>
      </c>
      <c r="AJ19" s="4">
        <f>+'202501anual'!N18</f>
        <v>46000000</v>
      </c>
      <c r="AK19" s="4">
        <v>0</v>
      </c>
      <c r="AL19" s="4">
        <f t="shared" si="8"/>
        <v>46000000</v>
      </c>
      <c r="AM19" s="4">
        <f>+C19+F19+I19+L19+O19+R19+U19+X19+AA19+AD19+AG19+AJ19</f>
        <v>293500000</v>
      </c>
      <c r="AN19" s="4">
        <f t="shared" si="24"/>
        <v>102619052</v>
      </c>
      <c r="AO19" s="4">
        <f t="shared" si="28"/>
        <v>190880948</v>
      </c>
      <c r="AP19" s="43">
        <f t="shared" si="25"/>
        <v>0.65036098126064734</v>
      </c>
      <c r="AQ19" s="34"/>
      <c r="AR19" s="36"/>
      <c r="AS19" s="158"/>
      <c r="AT19" s="157">
        <f>SUM(AT15:AT18)</f>
        <v>14500000</v>
      </c>
      <c r="AU19" s="157">
        <f t="shared" ref="AU19:AV19" si="29">SUM(AU15:AU18)</f>
        <v>1725000</v>
      </c>
      <c r="AV19" s="157">
        <f t="shared" si="29"/>
        <v>12775000</v>
      </c>
      <c r="AW19" s="20"/>
      <c r="AX19" s="149"/>
      <c r="AY19" s="150"/>
      <c r="AZ19" s="150"/>
      <c r="BA19" s="151"/>
    </row>
    <row r="20" spans="1:53" hidden="1" x14ac:dyDescent="0.25">
      <c r="A20" s="5" t="s">
        <v>8</v>
      </c>
      <c r="B20" s="4">
        <v>0</v>
      </c>
      <c r="C20" s="4">
        <v>0</v>
      </c>
      <c r="D20" s="4">
        <v>0</v>
      </c>
      <c r="E20" s="4">
        <f t="shared" si="17"/>
        <v>0</v>
      </c>
      <c r="F20" s="4">
        <v>0</v>
      </c>
      <c r="G20" s="4"/>
      <c r="H20" s="4">
        <f t="shared" si="0"/>
        <v>0</v>
      </c>
      <c r="I20" s="4"/>
      <c r="J20" s="4"/>
      <c r="K20" s="4">
        <f t="shared" si="1"/>
        <v>0</v>
      </c>
      <c r="L20" s="4"/>
      <c r="M20" s="4"/>
      <c r="N20" s="4">
        <f t="shared" si="18"/>
        <v>0</v>
      </c>
      <c r="O20" s="4"/>
      <c r="P20" s="4"/>
      <c r="Q20" s="4">
        <f t="shared" si="19"/>
        <v>0</v>
      </c>
      <c r="R20" s="4"/>
      <c r="S20" s="4"/>
      <c r="T20" s="4">
        <f t="shared" si="20"/>
        <v>0</v>
      </c>
      <c r="U20" s="4"/>
      <c r="V20" s="4"/>
      <c r="W20" s="4">
        <f t="shared" si="21"/>
        <v>0</v>
      </c>
      <c r="X20" s="4"/>
      <c r="Y20" s="4"/>
      <c r="Z20" s="4">
        <f t="shared" si="22"/>
        <v>0</v>
      </c>
      <c r="AA20" s="4"/>
      <c r="AB20" s="4"/>
      <c r="AC20" s="4">
        <f t="shared" si="5"/>
        <v>0</v>
      </c>
      <c r="AD20" s="4"/>
      <c r="AE20" s="4"/>
      <c r="AF20" s="4">
        <f t="shared" si="23"/>
        <v>0</v>
      </c>
      <c r="AG20" s="4"/>
      <c r="AH20" s="4"/>
      <c r="AI20" s="4">
        <f t="shared" si="26"/>
        <v>0</v>
      </c>
      <c r="AJ20" s="4"/>
      <c r="AK20" s="4"/>
      <c r="AL20" s="4">
        <f t="shared" si="8"/>
        <v>0</v>
      </c>
      <c r="AM20" s="4">
        <f>+C20+F20+I20+L20+O20+R20+U20+X20+AA20+AD20+AG20+AJ20</f>
        <v>0</v>
      </c>
      <c r="AN20" s="4">
        <f t="shared" si="24"/>
        <v>0</v>
      </c>
      <c r="AO20" s="4">
        <f t="shared" si="28"/>
        <v>0</v>
      </c>
      <c r="AP20" s="43" t="e">
        <f t="shared" si="25"/>
        <v>#DIV/0!</v>
      </c>
      <c r="AQ20" s="34"/>
      <c r="AR20" s="36"/>
      <c r="AS20" s="98" t="s">
        <v>183</v>
      </c>
      <c r="AT20" s="96">
        <v>0</v>
      </c>
      <c r="AU20" s="105">
        <v>0</v>
      </c>
      <c r="AV20" s="96">
        <f t="shared" ref="AV20:AV25" si="30">+AT20-AU20</f>
        <v>0</v>
      </c>
      <c r="AW20" s="20"/>
      <c r="AX20" s="148"/>
      <c r="AY20" s="2"/>
    </row>
    <row r="21" spans="1:53" hidden="1" x14ac:dyDescent="0.25">
      <c r="A21" s="5" t="s">
        <v>10</v>
      </c>
      <c r="B21" s="4">
        <v>0</v>
      </c>
      <c r="C21" s="4">
        <v>0</v>
      </c>
      <c r="D21" s="4">
        <v>0</v>
      </c>
      <c r="E21" s="4">
        <f t="shared" si="17"/>
        <v>0</v>
      </c>
      <c r="F21" s="4">
        <v>0</v>
      </c>
      <c r="G21" s="4"/>
      <c r="H21" s="4">
        <f t="shared" si="0"/>
        <v>0</v>
      </c>
      <c r="I21" s="4"/>
      <c r="J21" s="4"/>
      <c r="K21" s="4">
        <f t="shared" si="1"/>
        <v>0</v>
      </c>
      <c r="L21" s="4"/>
      <c r="M21" s="4"/>
      <c r="N21" s="4">
        <f t="shared" si="18"/>
        <v>0</v>
      </c>
      <c r="O21" s="4"/>
      <c r="P21" s="4"/>
      <c r="Q21" s="4">
        <f t="shared" si="19"/>
        <v>0</v>
      </c>
      <c r="R21" s="4"/>
      <c r="S21" s="4"/>
      <c r="T21" s="4">
        <f t="shared" si="20"/>
        <v>0</v>
      </c>
      <c r="U21" s="4"/>
      <c r="V21" s="4"/>
      <c r="W21" s="4">
        <f t="shared" si="21"/>
        <v>0</v>
      </c>
      <c r="X21" s="4"/>
      <c r="Y21" s="4"/>
      <c r="Z21" s="4">
        <f t="shared" si="22"/>
        <v>0</v>
      </c>
      <c r="AA21" s="4"/>
      <c r="AB21" s="4"/>
      <c r="AC21" s="4">
        <f t="shared" si="5"/>
        <v>0</v>
      </c>
      <c r="AD21" s="4"/>
      <c r="AE21" s="4"/>
      <c r="AF21" s="4">
        <f t="shared" si="23"/>
        <v>0</v>
      </c>
      <c r="AG21" s="4"/>
      <c r="AH21" s="4"/>
      <c r="AI21" s="4">
        <f t="shared" si="26"/>
        <v>0</v>
      </c>
      <c r="AJ21" s="4"/>
      <c r="AK21" s="4"/>
      <c r="AL21" s="4">
        <f t="shared" si="8"/>
        <v>0</v>
      </c>
      <c r="AM21" s="4">
        <v>0</v>
      </c>
      <c r="AN21" s="4">
        <f t="shared" si="24"/>
        <v>0</v>
      </c>
      <c r="AO21" s="4">
        <f t="shared" si="28"/>
        <v>0</v>
      </c>
      <c r="AP21" s="43" t="e">
        <f t="shared" si="25"/>
        <v>#DIV/0!</v>
      </c>
      <c r="AQ21" s="34"/>
      <c r="AR21" s="36"/>
      <c r="AS21" s="98" t="s">
        <v>186</v>
      </c>
      <c r="AT21" s="96">
        <v>0</v>
      </c>
      <c r="AU21" s="105">
        <v>13762550</v>
      </c>
      <c r="AV21" s="96">
        <f t="shared" si="30"/>
        <v>-13762550</v>
      </c>
      <c r="AX21" s="148"/>
      <c r="AY21" s="2"/>
    </row>
    <row r="22" spans="1:53" hidden="1" x14ac:dyDescent="0.25">
      <c r="A22" s="5" t="s">
        <v>11</v>
      </c>
      <c r="B22" s="4">
        <v>0</v>
      </c>
      <c r="C22" s="4">
        <v>0</v>
      </c>
      <c r="D22" s="4">
        <v>0</v>
      </c>
      <c r="E22" s="4">
        <f t="shared" si="17"/>
        <v>0</v>
      </c>
      <c r="F22" s="4"/>
      <c r="G22" s="4"/>
      <c r="H22" s="4">
        <f t="shared" si="0"/>
        <v>0</v>
      </c>
      <c r="I22" s="4"/>
      <c r="J22" s="4"/>
      <c r="K22" s="4">
        <f t="shared" si="1"/>
        <v>0</v>
      </c>
      <c r="L22" s="4"/>
      <c r="M22" s="4"/>
      <c r="N22" s="4">
        <f t="shared" si="18"/>
        <v>0</v>
      </c>
      <c r="O22" s="4"/>
      <c r="P22" s="4"/>
      <c r="Q22" s="4">
        <f t="shared" si="19"/>
        <v>0</v>
      </c>
      <c r="R22" s="4"/>
      <c r="S22" s="4"/>
      <c r="T22" s="4">
        <f t="shared" si="20"/>
        <v>0</v>
      </c>
      <c r="U22" s="4"/>
      <c r="V22" s="4"/>
      <c r="W22" s="4">
        <f t="shared" si="21"/>
        <v>0</v>
      </c>
      <c r="X22" s="4"/>
      <c r="Y22" s="4"/>
      <c r="Z22" s="4">
        <f t="shared" si="22"/>
        <v>0</v>
      </c>
      <c r="AA22" s="4"/>
      <c r="AB22" s="4"/>
      <c r="AC22" s="4">
        <f t="shared" si="5"/>
        <v>0</v>
      </c>
      <c r="AD22" s="4"/>
      <c r="AE22" s="4"/>
      <c r="AF22" s="4">
        <f t="shared" si="23"/>
        <v>0</v>
      </c>
      <c r="AG22" s="4"/>
      <c r="AH22" s="4"/>
      <c r="AI22" s="4">
        <f t="shared" si="26"/>
        <v>0</v>
      </c>
      <c r="AJ22" s="4"/>
      <c r="AK22" s="4"/>
      <c r="AL22" s="4">
        <f t="shared" si="8"/>
        <v>0</v>
      </c>
      <c r="AM22" s="4">
        <f t="shared" si="27"/>
        <v>0</v>
      </c>
      <c r="AN22" s="4">
        <f t="shared" si="24"/>
        <v>0</v>
      </c>
      <c r="AO22" s="4">
        <f t="shared" si="28"/>
        <v>0</v>
      </c>
      <c r="AP22" s="43" t="e">
        <f t="shared" si="25"/>
        <v>#DIV/0!</v>
      </c>
      <c r="AQ22" s="34"/>
      <c r="AR22" s="36"/>
      <c r="AS22" s="99" t="s">
        <v>184</v>
      </c>
      <c r="AT22" s="97">
        <v>0</v>
      </c>
      <c r="AU22" s="96">
        <f>34914910+27160573</f>
        <v>62075483</v>
      </c>
      <c r="AV22" s="96">
        <f t="shared" si="30"/>
        <v>-62075483</v>
      </c>
      <c r="AW22" s="20"/>
      <c r="AX22" s="148"/>
      <c r="AY22" s="2"/>
    </row>
    <row r="23" spans="1:53" x14ac:dyDescent="0.25">
      <c r="A23" s="5" t="s">
        <v>12</v>
      </c>
      <c r="B23" s="4">
        <v>686332000</v>
      </c>
      <c r="C23" s="4">
        <v>3290000</v>
      </c>
      <c r="D23" s="4">
        <v>6108577</v>
      </c>
      <c r="E23" s="4">
        <f t="shared" si="17"/>
        <v>-2818577</v>
      </c>
      <c r="F23" s="4">
        <v>13281000</v>
      </c>
      <c r="G23" s="4">
        <f>4674531+92007192</f>
        <v>96681723</v>
      </c>
      <c r="H23" s="4">
        <f t="shared" si="0"/>
        <v>-83400723</v>
      </c>
      <c r="I23" s="4">
        <v>45481000</v>
      </c>
      <c r="J23" s="4">
        <v>2000000</v>
      </c>
      <c r="K23" s="4">
        <f t="shared" si="1"/>
        <v>43481000</v>
      </c>
      <c r="L23" s="4">
        <f>+'202501anual'!F38</f>
        <v>18981000</v>
      </c>
      <c r="M23" s="4">
        <f>39140919+10442565+1900000+35921490+95891680</f>
        <v>183296654</v>
      </c>
      <c r="N23" s="4">
        <f t="shared" si="18"/>
        <v>-164315654</v>
      </c>
      <c r="O23" s="4">
        <f>+'202501anual'!G38</f>
        <v>120481000</v>
      </c>
      <c r="P23" s="4">
        <f>1879605+8195666+1900000+39027673</f>
        <v>51002944</v>
      </c>
      <c r="Q23" s="4">
        <f t="shared" si="19"/>
        <v>69478056</v>
      </c>
      <c r="R23" s="4">
        <f>+'202501anual'!H38</f>
        <v>120481000</v>
      </c>
      <c r="S23" s="4">
        <v>7259287</v>
      </c>
      <c r="T23" s="4">
        <f t="shared" si="20"/>
        <v>113221713</v>
      </c>
      <c r="U23" s="4">
        <f>+'202501anual'!I38</f>
        <v>120481000</v>
      </c>
      <c r="V23" s="4">
        <v>0</v>
      </c>
      <c r="W23" s="4">
        <f t="shared" si="21"/>
        <v>120481000</v>
      </c>
      <c r="X23" s="4">
        <f>+'202501anual'!J38</f>
        <v>46481000</v>
      </c>
      <c r="Y23" s="4">
        <v>36642252</v>
      </c>
      <c r="Z23" s="4">
        <f t="shared" si="22"/>
        <v>9838748</v>
      </c>
      <c r="AA23" s="4">
        <f>+'202501anual'!K38</f>
        <v>56481000</v>
      </c>
      <c r="AB23" s="4">
        <f>2260390+280253+1900000</f>
        <v>4440643</v>
      </c>
      <c r="AC23" s="4">
        <f t="shared" si="5"/>
        <v>52040357</v>
      </c>
      <c r="AD23" s="4">
        <f>+'202501anual'!L38</f>
        <v>46481000</v>
      </c>
      <c r="AE23" s="4">
        <f>13797933+1900000</f>
        <v>15697933</v>
      </c>
      <c r="AF23" s="4">
        <f t="shared" si="23"/>
        <v>30783067</v>
      </c>
      <c r="AG23" s="4">
        <f>+'202501anual'!M38</f>
        <v>40481000</v>
      </c>
      <c r="AH23" s="4">
        <f>22832625+3931865+212338</f>
        <v>26976828</v>
      </c>
      <c r="AI23" s="4">
        <f t="shared" si="26"/>
        <v>13504172</v>
      </c>
      <c r="AJ23" s="4">
        <f>+'202501anual'!N38</f>
        <v>15481000</v>
      </c>
      <c r="AK23" s="4">
        <v>5803614</v>
      </c>
      <c r="AL23" s="4">
        <f t="shared" si="8"/>
        <v>9677386</v>
      </c>
      <c r="AM23" s="4">
        <f>+C23+F23+I23+L23+O23+R23+U23+X23+AA23+AD23+AG23+AJ23</f>
        <v>647881000</v>
      </c>
      <c r="AN23" s="4">
        <f t="shared" si="24"/>
        <v>435910455</v>
      </c>
      <c r="AO23" s="4">
        <f t="shared" si="28"/>
        <v>211970545</v>
      </c>
      <c r="AP23" s="43">
        <f t="shared" si="25"/>
        <v>0.32717512166586149</v>
      </c>
      <c r="AQ23" s="34"/>
      <c r="AR23" s="36"/>
      <c r="AS23" s="155" t="s">
        <v>213</v>
      </c>
      <c r="AT23" s="159">
        <v>25000000</v>
      </c>
      <c r="AU23" s="155">
        <v>22832625</v>
      </c>
      <c r="AV23" s="155">
        <f t="shared" si="30"/>
        <v>2167375</v>
      </c>
      <c r="AW23" s="20"/>
      <c r="AX23" s="149"/>
      <c r="AY23" s="150"/>
      <c r="AZ23" s="150"/>
      <c r="BA23" s="151"/>
    </row>
    <row r="24" spans="1:53" x14ac:dyDescent="0.25">
      <c r="A24" s="12" t="s">
        <v>13</v>
      </c>
      <c r="B24" s="8">
        <f>SUM(B17:B23)</f>
        <v>2010298122.397151</v>
      </c>
      <c r="C24" s="8">
        <f>SUM(C17:C23)</f>
        <v>89407097.033095926</v>
      </c>
      <c r="D24" s="8">
        <f t="shared" ref="D24:AL24" si="31">SUM(D17:D23)</f>
        <v>86453127</v>
      </c>
      <c r="E24" s="8">
        <f t="shared" si="31"/>
        <v>2953970.033095926</v>
      </c>
      <c r="F24" s="8">
        <f>SUM(F17:F23)</f>
        <v>99398097.033095926</v>
      </c>
      <c r="G24" s="8">
        <f t="shared" si="31"/>
        <v>196281491</v>
      </c>
      <c r="H24" s="8">
        <f t="shared" si="31"/>
        <v>-96883393.966904074</v>
      </c>
      <c r="I24" s="7">
        <f t="shared" si="31"/>
        <v>131598097.03309593</v>
      </c>
      <c r="J24" s="8">
        <f t="shared" si="31"/>
        <v>72208802</v>
      </c>
      <c r="K24" s="8">
        <f t="shared" si="31"/>
        <v>59389295.033095926</v>
      </c>
      <c r="L24" s="8">
        <f t="shared" ref="L24:Z24" si="32">SUM(L17:L23)</f>
        <v>144098097.03309593</v>
      </c>
      <c r="M24" s="8">
        <f t="shared" si="32"/>
        <v>260397048</v>
      </c>
      <c r="N24" s="8">
        <f t="shared" si="32"/>
        <v>-116298950.96690407</v>
      </c>
      <c r="O24" s="8">
        <f t="shared" si="32"/>
        <v>248598097.03309593</v>
      </c>
      <c r="P24" s="8">
        <f t="shared" si="32"/>
        <v>149834011</v>
      </c>
      <c r="Q24" s="8">
        <f t="shared" si="32"/>
        <v>98764086.033095926</v>
      </c>
      <c r="R24" s="8">
        <f>SUM(R17:R23)</f>
        <v>233598097.03309593</v>
      </c>
      <c r="S24" s="8">
        <f>SUM(S17:S23)</f>
        <v>82116241</v>
      </c>
      <c r="T24" s="8">
        <f>SUM(T17:T23)</f>
        <v>151481856.03309593</v>
      </c>
      <c r="U24" s="8">
        <f>SUM(U17:U23)</f>
        <v>241098097.03309593</v>
      </c>
      <c r="V24" s="8">
        <f t="shared" si="32"/>
        <v>73638977.340000004</v>
      </c>
      <c r="W24" s="8">
        <f t="shared" si="32"/>
        <v>167459119.69309592</v>
      </c>
      <c r="X24" s="8">
        <f>SUM(X17:X23)</f>
        <v>178598097.03309593</v>
      </c>
      <c r="Y24" s="8">
        <f t="shared" si="32"/>
        <v>117852029</v>
      </c>
      <c r="Z24" s="8">
        <f t="shared" si="32"/>
        <v>60746068.033095926</v>
      </c>
      <c r="AA24" s="8">
        <f t="shared" si="31"/>
        <v>148598097.03309593</v>
      </c>
      <c r="AB24" s="8">
        <f t="shared" si="31"/>
        <v>114427116.62</v>
      </c>
      <c r="AC24" s="8">
        <f t="shared" si="31"/>
        <v>34170980.413095921</v>
      </c>
      <c r="AD24" s="8">
        <f t="shared" si="31"/>
        <v>171098097.03309593</v>
      </c>
      <c r="AE24" s="8">
        <f t="shared" si="31"/>
        <v>91837007</v>
      </c>
      <c r="AF24" s="8">
        <f t="shared" si="31"/>
        <v>79261090.033095926</v>
      </c>
      <c r="AG24" s="8">
        <f t="shared" si="31"/>
        <v>141098097.03309593</v>
      </c>
      <c r="AH24" s="8">
        <f t="shared" si="31"/>
        <v>100378305</v>
      </c>
      <c r="AI24" s="8">
        <f t="shared" si="31"/>
        <v>40719792.033095926</v>
      </c>
      <c r="AJ24" s="8">
        <f t="shared" si="31"/>
        <v>147598097.03309593</v>
      </c>
      <c r="AK24" s="8">
        <f t="shared" si="31"/>
        <v>75752823</v>
      </c>
      <c r="AL24" s="8">
        <f t="shared" si="31"/>
        <v>71845274.033095926</v>
      </c>
      <c r="AM24" s="8">
        <f>SUM(AM17:AM23)</f>
        <v>1974786164.3971515</v>
      </c>
      <c r="AN24" s="8">
        <f>SUM(AN17:AN23)</f>
        <v>1421176977.96</v>
      </c>
      <c r="AO24" s="8">
        <f>SUM(AO17:AO23)</f>
        <v>553609186.43715131</v>
      </c>
      <c r="AP24" s="31">
        <f>+AO24/AM24</f>
        <v>0.28033880144494183</v>
      </c>
      <c r="AQ24" s="34"/>
      <c r="AR24" s="50">
        <f>AL24/AJ24</f>
        <v>0.48676287484239078</v>
      </c>
      <c r="AS24" s="155" t="s">
        <v>214</v>
      </c>
      <c r="AT24" s="159">
        <v>13281000</v>
      </c>
      <c r="AU24" s="155">
        <v>212338</v>
      </c>
      <c r="AV24" s="155">
        <f t="shared" si="30"/>
        <v>13068662</v>
      </c>
      <c r="AW24" s="20"/>
      <c r="AX24" s="149"/>
      <c r="AY24" s="150"/>
      <c r="AZ24" s="150"/>
      <c r="BA24" s="151"/>
    </row>
    <row r="25" spans="1:53" x14ac:dyDescent="0.25">
      <c r="A25" s="5" t="s">
        <v>35</v>
      </c>
      <c r="B25" s="4">
        <v>45053763.229277767</v>
      </c>
      <c r="C25" s="4">
        <v>3754480.2691064808</v>
      </c>
      <c r="D25" s="4">
        <v>0</v>
      </c>
      <c r="E25" s="4">
        <f t="shared" si="17"/>
        <v>3754480.2691064808</v>
      </c>
      <c r="F25" s="4">
        <v>4129928.2960171285</v>
      </c>
      <c r="G25" s="4">
        <f>+[20]Resultados!$D$27</f>
        <v>3965777</v>
      </c>
      <c r="H25" s="4">
        <f>+F25-G25</f>
        <v>164151.29601712851</v>
      </c>
      <c r="I25" s="4">
        <f>4279928.29601713-150000</f>
        <v>4129928.2960171299</v>
      </c>
      <c r="J25" s="4">
        <v>3999446</v>
      </c>
      <c r="K25" s="4">
        <f t="shared" si="1"/>
        <v>130482.29601712991</v>
      </c>
      <c r="L25" s="4">
        <f>+I25</f>
        <v>4129928.2960171299</v>
      </c>
      <c r="M25" s="4">
        <f>+[28]Resultados!$F$27</f>
        <v>4020745</v>
      </c>
      <c r="N25" s="4">
        <f>+L25-M25</f>
        <v>109183.29601712991</v>
      </c>
      <c r="O25" s="4">
        <f>+'202501anual'!G49</f>
        <v>4129928.2960171285</v>
      </c>
      <c r="P25" s="4">
        <f>+[21]Resultados!$G$27</f>
        <v>4066748</v>
      </c>
      <c r="Q25" s="4">
        <f>+O25-P25</f>
        <v>63180.296017128509</v>
      </c>
      <c r="R25" s="4">
        <f>+'202501anual'!H49</f>
        <v>4129928.2960171285</v>
      </c>
      <c r="S25" s="4">
        <v>4066748</v>
      </c>
      <c r="T25" s="4">
        <f>+R25-S25</f>
        <v>63180.296017128509</v>
      </c>
      <c r="U25" s="4">
        <f>+'202501anual'!I49</f>
        <v>4129928.2960171285</v>
      </c>
      <c r="V25" s="4">
        <f>+[22]Resultados!$I$27</f>
        <v>4325093</v>
      </c>
      <c r="W25" s="4">
        <f>+U25-V25</f>
        <v>-195164.70398287149</v>
      </c>
      <c r="X25" s="4">
        <f>+'202501anual'!J49</f>
        <v>4129928.2960171285</v>
      </c>
      <c r="Y25" s="4">
        <v>4024819</v>
      </c>
      <c r="Z25" s="4">
        <f>+X25-Y25</f>
        <v>105109.29601712851</v>
      </c>
      <c r="AA25" s="4">
        <f>+'202501anual'!K49</f>
        <v>4129928.2960171285</v>
      </c>
      <c r="AB25" s="4">
        <f>+[23]Resultados!$K$27</f>
        <v>4001502</v>
      </c>
      <c r="AC25" s="4">
        <f t="shared" si="5"/>
        <v>128426.29601712851</v>
      </c>
      <c r="AD25" s="4">
        <f>+'202501anual'!L49</f>
        <v>4129928.2960171285</v>
      </c>
      <c r="AE25" s="4">
        <f>+[24]Resultados!$L$27</f>
        <v>4013159</v>
      </c>
      <c r="AF25" s="4">
        <f>+AD25-AE25</f>
        <v>116769.29601712851</v>
      </c>
      <c r="AG25" s="4">
        <f>+'202501anual'!M49</f>
        <v>4129928.2960171285</v>
      </c>
      <c r="AH25" s="4">
        <f>+[25]Resultados!$M$27</f>
        <v>4018995</v>
      </c>
      <c r="AI25" s="4">
        <f t="shared" si="26"/>
        <v>110933.29601712851</v>
      </c>
      <c r="AJ25" s="4">
        <f>+'202501anual'!N49</f>
        <v>4129928.2960171285</v>
      </c>
      <c r="AK25" s="4">
        <f>+[26]Resultados!$N$27</f>
        <v>3377996</v>
      </c>
      <c r="AL25" s="4">
        <f t="shared" si="8"/>
        <v>751932.29601712851</v>
      </c>
      <c r="AM25" s="4">
        <f>+C25+F25+I25+L25+O25+R25+U25+X25+AA25+AD25+AG25+AJ25</f>
        <v>49183691.525294885</v>
      </c>
      <c r="AN25" s="4">
        <f>+D25+G25+J25+M25+P25+S25+V25+Y25+AB25+AE25+AH25+AK25</f>
        <v>43881028</v>
      </c>
      <c r="AO25" s="4">
        <f>+AM25-AN25</f>
        <v>5302663.525294885</v>
      </c>
      <c r="AP25" s="43">
        <f>+AO25/AM25</f>
        <v>0.10781345118366636</v>
      </c>
      <c r="AQ25" s="34"/>
      <c r="AR25" s="38"/>
      <c r="AS25" s="155" t="s">
        <v>200</v>
      </c>
      <c r="AT25" s="159">
        <v>2200000</v>
      </c>
      <c r="AU25" s="155">
        <v>3931865</v>
      </c>
      <c r="AV25" s="155">
        <f t="shared" si="30"/>
        <v>-1731865</v>
      </c>
      <c r="AX25" s="148"/>
      <c r="AY25" s="150"/>
      <c r="AZ25" s="150"/>
      <c r="BA25" s="150"/>
    </row>
    <row r="26" spans="1:53" x14ac:dyDescent="0.25">
      <c r="A26" s="5" t="s">
        <v>14</v>
      </c>
      <c r="B26" s="4">
        <v>58227687</v>
      </c>
      <c r="C26" s="4">
        <v>0</v>
      </c>
      <c r="D26" s="4">
        <v>31618</v>
      </c>
      <c r="E26" s="4">
        <f t="shared" si="17"/>
        <v>-31618</v>
      </c>
      <c r="F26" s="4">
        <v>150000</v>
      </c>
      <c r="G26" s="4">
        <v>31618</v>
      </c>
      <c r="H26" s="4">
        <f>+F26-G26</f>
        <v>118382</v>
      </c>
      <c r="I26" s="4">
        <v>150000</v>
      </c>
      <c r="J26" s="4">
        <v>31618</v>
      </c>
      <c r="K26" s="4">
        <f t="shared" si="1"/>
        <v>118382</v>
      </c>
      <c r="L26" s="4">
        <f>+I26</f>
        <v>150000</v>
      </c>
      <c r="M26" s="4">
        <v>31218</v>
      </c>
      <c r="N26" s="4">
        <f>+L26-M26</f>
        <v>118782</v>
      </c>
      <c r="O26" s="4">
        <f>+'202501anual'!G50</f>
        <v>150000</v>
      </c>
      <c r="P26" s="4">
        <v>31618</v>
      </c>
      <c r="Q26" s="4">
        <f>+O26-P26</f>
        <v>118382</v>
      </c>
      <c r="R26" s="4">
        <f>+'202501anual'!H50</f>
        <v>150000</v>
      </c>
      <c r="S26" s="4">
        <v>647618</v>
      </c>
      <c r="T26" s="4">
        <f>+R26-S26</f>
        <v>-497618</v>
      </c>
      <c r="U26" s="4">
        <f>+'202501anual'!I50</f>
        <v>0</v>
      </c>
      <c r="V26" s="4">
        <v>31618</v>
      </c>
      <c r="W26" s="4">
        <f>+U26-V26</f>
        <v>-31618</v>
      </c>
      <c r="X26" s="4">
        <f>+'202501anual'!J50</f>
        <v>150000</v>
      </c>
      <c r="Y26" s="4">
        <v>1066018</v>
      </c>
      <c r="Z26" s="4">
        <f>+X26-Y26</f>
        <v>-916018</v>
      </c>
      <c r="AA26" s="4">
        <f>+'202501anual'!K50</f>
        <v>150000</v>
      </c>
      <c r="AB26" s="4">
        <v>31618</v>
      </c>
      <c r="AC26" s="4">
        <f t="shared" si="5"/>
        <v>118382</v>
      </c>
      <c r="AD26" s="4">
        <f>+'202501anual'!L50</f>
        <v>150000</v>
      </c>
      <c r="AE26" s="4">
        <f>750000+31618+33110323</f>
        <v>33891941</v>
      </c>
      <c r="AF26" s="4">
        <f>+AD26-AE26</f>
        <v>-33741941</v>
      </c>
      <c r="AG26" s="4">
        <f>+'202501anual'!M50</f>
        <v>150000</v>
      </c>
      <c r="AH26" s="4">
        <f>31618+1129304</f>
        <v>1160922</v>
      </c>
      <c r="AI26" s="4">
        <f t="shared" si="26"/>
        <v>-1010922</v>
      </c>
      <c r="AJ26" s="4">
        <f>+'202501anual'!N50</f>
        <v>150000</v>
      </c>
      <c r="AK26" s="4">
        <v>31618</v>
      </c>
      <c r="AL26" s="4">
        <f t="shared" si="8"/>
        <v>118382</v>
      </c>
      <c r="AM26" s="4">
        <f>+C26+F26+I26+L26+O26+R26+U26+X26+AA26+AD26+AG26+AJ26</f>
        <v>1500000</v>
      </c>
      <c r="AN26" s="4">
        <f>+D26+G26+J26+M26+P26+S26+V26+Y26+AB26+AE26+AH26+AK26</f>
        <v>37019043</v>
      </c>
      <c r="AO26" s="4">
        <f>+AM26-AN26</f>
        <v>-35519043</v>
      </c>
      <c r="AP26" s="43">
        <f>+AO26/AM26</f>
        <v>-23.679362000000001</v>
      </c>
      <c r="AQ26" s="34"/>
      <c r="AR26" s="36"/>
      <c r="AS26" s="155"/>
      <c r="AT26" s="160">
        <f>SUM(AT20:AT25)</f>
        <v>40481000</v>
      </c>
      <c r="AU26" s="160">
        <f>SUM(AU23:AU25)</f>
        <v>26976828</v>
      </c>
      <c r="AV26" s="160">
        <f>SUM(AV23:AV25)</f>
        <v>13504172</v>
      </c>
      <c r="AX26" s="149"/>
      <c r="AY26" s="150"/>
      <c r="AZ26" s="150"/>
      <c r="BA26" s="151"/>
    </row>
    <row r="27" spans="1:53" x14ac:dyDescent="0.25">
      <c r="A27" s="12" t="s">
        <v>15</v>
      </c>
      <c r="B27" s="8">
        <f t="shared" ref="B27:P27" si="33">SUM(B25:B26)</f>
        <v>103281450.22927776</v>
      </c>
      <c r="C27" s="8">
        <f t="shared" si="33"/>
        <v>3754480.2691064808</v>
      </c>
      <c r="D27" s="8">
        <f t="shared" si="33"/>
        <v>31618</v>
      </c>
      <c r="E27" s="8">
        <f t="shared" si="33"/>
        <v>3722862.2691064808</v>
      </c>
      <c r="F27" s="8">
        <f t="shared" si="33"/>
        <v>4279928.296017129</v>
      </c>
      <c r="G27" s="8">
        <f t="shared" si="33"/>
        <v>3997395</v>
      </c>
      <c r="H27" s="8">
        <f t="shared" si="33"/>
        <v>282533.29601712851</v>
      </c>
      <c r="I27" s="7">
        <f t="shared" si="33"/>
        <v>4279928.2960171299</v>
      </c>
      <c r="J27" s="7">
        <f t="shared" si="33"/>
        <v>4031064</v>
      </c>
      <c r="K27" s="8">
        <f t="shared" si="33"/>
        <v>248864.29601712991</v>
      </c>
      <c r="L27" s="8">
        <f t="shared" si="33"/>
        <v>4279928.2960171299</v>
      </c>
      <c r="M27" s="8">
        <f t="shared" si="33"/>
        <v>4051963</v>
      </c>
      <c r="N27" s="8">
        <f t="shared" si="33"/>
        <v>227965.29601712991</v>
      </c>
      <c r="O27" s="8">
        <f t="shared" si="33"/>
        <v>4279928.296017129</v>
      </c>
      <c r="P27" s="8">
        <f t="shared" si="33"/>
        <v>4098366</v>
      </c>
      <c r="Q27" s="8">
        <f>+O27-P27</f>
        <v>181562.29601712897</v>
      </c>
      <c r="R27" s="8">
        <f t="shared" ref="R27:AO27" si="34">SUM(R25:R26)</f>
        <v>4279928.296017129</v>
      </c>
      <c r="S27" s="8">
        <f t="shared" si="34"/>
        <v>4714366</v>
      </c>
      <c r="T27" s="8">
        <f t="shared" si="34"/>
        <v>-434437.70398287149</v>
      </c>
      <c r="U27" s="8">
        <f t="shared" si="34"/>
        <v>4129928.2960171285</v>
      </c>
      <c r="V27" s="8">
        <f t="shared" si="34"/>
        <v>4356711</v>
      </c>
      <c r="W27" s="8">
        <f t="shared" si="34"/>
        <v>-226782.70398287149</v>
      </c>
      <c r="X27" s="8">
        <f t="shared" si="34"/>
        <v>4279928.296017129</v>
      </c>
      <c r="Y27" s="8">
        <f t="shared" si="34"/>
        <v>5090837</v>
      </c>
      <c r="Z27" s="8">
        <f t="shared" si="34"/>
        <v>-810908.70398287149</v>
      </c>
      <c r="AA27" s="8">
        <f t="shared" si="34"/>
        <v>4279928.296017129</v>
      </c>
      <c r="AB27" s="8">
        <f t="shared" si="34"/>
        <v>4033120</v>
      </c>
      <c r="AC27" s="8">
        <f t="shared" si="34"/>
        <v>246808.29601712851</v>
      </c>
      <c r="AD27" s="8">
        <f t="shared" si="34"/>
        <v>4279928.296017129</v>
      </c>
      <c r="AE27" s="8">
        <f t="shared" si="34"/>
        <v>37905100</v>
      </c>
      <c r="AF27" s="8">
        <f t="shared" si="34"/>
        <v>-33625171.703982875</v>
      </c>
      <c r="AG27" s="8">
        <f t="shared" si="34"/>
        <v>4279928.296017129</v>
      </c>
      <c r="AH27" s="8">
        <f t="shared" si="34"/>
        <v>5179917</v>
      </c>
      <c r="AI27" s="8">
        <f t="shared" si="34"/>
        <v>-899988.70398287149</v>
      </c>
      <c r="AJ27" s="8">
        <f t="shared" si="34"/>
        <v>4279928.296017129</v>
      </c>
      <c r="AK27" s="8">
        <f t="shared" si="34"/>
        <v>3409614</v>
      </c>
      <c r="AL27" s="8">
        <f t="shared" si="34"/>
        <v>870314.29601712851</v>
      </c>
      <c r="AM27" s="8">
        <f t="shared" si="34"/>
        <v>50683691.525294885</v>
      </c>
      <c r="AN27" s="8">
        <f t="shared" si="34"/>
        <v>80900071</v>
      </c>
      <c r="AO27" s="8">
        <f t="shared" si="34"/>
        <v>-30216379.474705115</v>
      </c>
      <c r="AP27" s="31">
        <f>+AO27/AM27</f>
        <v>-0.5961755855850579</v>
      </c>
      <c r="AQ27" s="34"/>
      <c r="AR27" s="50">
        <f>AL27/AJ27</f>
        <v>0.20334786842738389</v>
      </c>
      <c r="AS27" s="96"/>
      <c r="AT27" s="101"/>
      <c r="AU27" s="96"/>
      <c r="AV27" s="96"/>
      <c r="AW27" s="2"/>
      <c r="AX27" s="149"/>
      <c r="AY27" s="150"/>
      <c r="AZ27" s="150"/>
      <c r="BA27" s="151"/>
    </row>
    <row r="28" spans="1:53" x14ac:dyDescent="0.25">
      <c r="A28" s="12" t="s">
        <v>1</v>
      </c>
      <c r="B28" s="8">
        <f t="shared" ref="B28:AO28" si="35">+B27+B24</f>
        <v>2113579572.6264288</v>
      </c>
      <c r="C28" s="8">
        <f t="shared" si="35"/>
        <v>93161577.302202404</v>
      </c>
      <c r="D28" s="8">
        <f t="shared" si="35"/>
        <v>86484745</v>
      </c>
      <c r="E28" s="8">
        <f t="shared" si="35"/>
        <v>6676832.3022024073</v>
      </c>
      <c r="F28" s="8">
        <f t="shared" si="35"/>
        <v>103678025.32911305</v>
      </c>
      <c r="G28" s="8">
        <f t="shared" si="35"/>
        <v>200278886</v>
      </c>
      <c r="H28" s="8">
        <f t="shared" si="35"/>
        <v>-96600860.670886949</v>
      </c>
      <c r="I28" s="7">
        <f t="shared" si="35"/>
        <v>135878025.32911307</v>
      </c>
      <c r="J28" s="8">
        <f t="shared" si="35"/>
        <v>76239866</v>
      </c>
      <c r="K28" s="8">
        <f t="shared" si="35"/>
        <v>59638159.329113059</v>
      </c>
      <c r="L28" s="8">
        <f t="shared" si="35"/>
        <v>148378025.32911307</v>
      </c>
      <c r="M28" s="8">
        <f t="shared" si="35"/>
        <v>264449011</v>
      </c>
      <c r="N28" s="8">
        <f t="shared" si="35"/>
        <v>-116070985.67088695</v>
      </c>
      <c r="O28" s="8">
        <f t="shared" si="35"/>
        <v>252878025.32911307</v>
      </c>
      <c r="P28" s="8">
        <f t="shared" si="35"/>
        <v>153932377</v>
      </c>
      <c r="Q28" s="8">
        <f t="shared" si="35"/>
        <v>98945648.329113051</v>
      </c>
      <c r="R28" s="8">
        <f t="shared" si="35"/>
        <v>237878025.32911307</v>
      </c>
      <c r="S28" s="8">
        <f t="shared" si="35"/>
        <v>86830607</v>
      </c>
      <c r="T28" s="8">
        <f t="shared" si="35"/>
        <v>151047418.32911307</v>
      </c>
      <c r="U28" s="8">
        <f t="shared" si="35"/>
        <v>245228025.32911307</v>
      </c>
      <c r="V28" s="8">
        <f t="shared" si="35"/>
        <v>77995688.340000004</v>
      </c>
      <c r="W28" s="8">
        <f t="shared" si="35"/>
        <v>167232336.98911306</v>
      </c>
      <c r="X28" s="8">
        <f t="shared" si="35"/>
        <v>182878025.32911307</v>
      </c>
      <c r="Y28" s="8">
        <f t="shared" si="35"/>
        <v>122942866</v>
      </c>
      <c r="Z28" s="8">
        <f t="shared" si="35"/>
        <v>59935159.329113051</v>
      </c>
      <c r="AA28" s="8">
        <f t="shared" si="35"/>
        <v>152878025.32911307</v>
      </c>
      <c r="AB28" s="8">
        <f t="shared" si="35"/>
        <v>118460236.62</v>
      </c>
      <c r="AC28" s="8">
        <f t="shared" si="35"/>
        <v>34417788.709113047</v>
      </c>
      <c r="AD28" s="8">
        <f t="shared" si="35"/>
        <v>175378025.32911307</v>
      </c>
      <c r="AE28" s="8">
        <f t="shared" si="35"/>
        <v>129742107</v>
      </c>
      <c r="AF28" s="8">
        <f t="shared" si="35"/>
        <v>45635918.329113051</v>
      </c>
      <c r="AG28" s="8">
        <f t="shared" si="35"/>
        <v>145378025.32911307</v>
      </c>
      <c r="AH28" s="8">
        <f t="shared" si="35"/>
        <v>105558222</v>
      </c>
      <c r="AI28" s="8">
        <f t="shared" si="35"/>
        <v>39819803.329113051</v>
      </c>
      <c r="AJ28" s="8">
        <f t="shared" si="35"/>
        <v>151878025.32911307</v>
      </c>
      <c r="AK28" s="8">
        <f t="shared" si="35"/>
        <v>79162437</v>
      </c>
      <c r="AL28" s="8">
        <f t="shared" si="35"/>
        <v>72715588.329113051</v>
      </c>
      <c r="AM28" s="8">
        <f t="shared" si="35"/>
        <v>2025469855.9224463</v>
      </c>
      <c r="AN28" s="8">
        <f t="shared" si="35"/>
        <v>1502077048.96</v>
      </c>
      <c r="AO28" s="8">
        <f t="shared" si="35"/>
        <v>523392806.96244621</v>
      </c>
      <c r="AP28" s="31">
        <f>+AO28/AM28</f>
        <v>0.25840562644368803</v>
      </c>
      <c r="AQ28" s="34"/>
      <c r="AR28" s="50">
        <f>AL28/AJ28</f>
        <v>0.47877622961940369</v>
      </c>
      <c r="AS28" s="96"/>
      <c r="AT28" s="96"/>
      <c r="AU28" s="96"/>
      <c r="AV28" s="96"/>
      <c r="AX28" s="149"/>
      <c r="AY28" s="150"/>
      <c r="AZ28" s="150"/>
      <c r="BA28" s="151"/>
    </row>
    <row r="29" spans="1:53" x14ac:dyDescent="0.25">
      <c r="A29" s="22" t="s">
        <v>58</v>
      </c>
      <c r="B29" s="4">
        <v>1348189693.8599594</v>
      </c>
      <c r="C29" s="4">
        <v>130288100.15499701</v>
      </c>
      <c r="D29" s="4">
        <v>98571937</v>
      </c>
      <c r="E29" s="4">
        <f t="shared" ref="E29:E92" si="36">+C29-D29</f>
        <v>31716163.154997006</v>
      </c>
      <c r="F29" s="4">
        <v>130288100.03</v>
      </c>
      <c r="G29" s="4">
        <v>105024959</v>
      </c>
      <c r="H29" s="4">
        <f t="shared" ref="H29:H92" si="37">+F29-G29</f>
        <v>25263141.030000001</v>
      </c>
      <c r="I29" s="4">
        <v>130288100.03</v>
      </c>
      <c r="J29" s="4">
        <v>107528241</v>
      </c>
      <c r="K29" s="4">
        <f t="shared" ref="K29:K49" si="38">+I29-J29</f>
        <v>22759859.030000001</v>
      </c>
      <c r="L29" s="4">
        <f>+I29</f>
        <v>130288100.03</v>
      </c>
      <c r="M29" s="4">
        <f>101280315.65-654403</f>
        <v>100625912.65000001</v>
      </c>
      <c r="N29" s="4">
        <f t="shared" ref="N29:N35" si="39">+L29-M29</f>
        <v>29662187.379999995</v>
      </c>
      <c r="O29" s="4">
        <f>+'202501anual'!G53</f>
        <v>130288100.03</v>
      </c>
      <c r="P29" s="4">
        <f>+[21]Resultados!$G$41-[21]Resultados!$G$59</f>
        <v>102884169</v>
      </c>
      <c r="Q29" s="4">
        <f>+O29-P29</f>
        <v>27403931.030000001</v>
      </c>
      <c r="R29" s="4">
        <f>+'202501anual'!H53</f>
        <v>130288100.03</v>
      </c>
      <c r="S29" s="4">
        <v>102884169</v>
      </c>
      <c r="T29" s="4">
        <f t="shared" ref="T29:T49" si="40">+R29-S29</f>
        <v>27403931.030000001</v>
      </c>
      <c r="U29" s="4">
        <f>+'202501anual'!I53</f>
        <v>130288100.03</v>
      </c>
      <c r="V29" s="4">
        <f>+[22]Resultados!$I$41-[22]Resultados!$I$59</f>
        <v>95061561</v>
      </c>
      <c r="W29" s="4">
        <f t="shared" ref="W29:W35" si="41">+U29-V29</f>
        <v>35226539.030000001</v>
      </c>
      <c r="X29" s="4">
        <f>+'202501anual'!J53</f>
        <v>130288100.03</v>
      </c>
      <c r="Y29" s="4">
        <v>91639241</v>
      </c>
      <c r="Z29" s="4">
        <f t="shared" ref="Z29:Z49" si="42">+X29-Y29</f>
        <v>38648859.030000001</v>
      </c>
      <c r="AA29" s="4">
        <f>+'202501anual'!K53</f>
        <v>130288100.03</v>
      </c>
      <c r="AB29" s="4">
        <f>+[23]Resultados!$K$41-[23]Resultados!$K$59</f>
        <v>94684613.999999985</v>
      </c>
      <c r="AC29" s="4">
        <f t="shared" ref="AC29:AC49" si="43">+AA29-AB29</f>
        <v>35603486.030000016</v>
      </c>
      <c r="AD29" s="4">
        <f>+'202501anual'!L53</f>
        <v>130288100.03</v>
      </c>
      <c r="AE29" s="4">
        <f>+[24]Resultados!$L$41-[24]Resultados!$L$59</f>
        <v>87683263</v>
      </c>
      <c r="AF29" s="4">
        <f t="shared" ref="AF29:AF92" si="44">+AD29-AE29</f>
        <v>42604837.030000001</v>
      </c>
      <c r="AG29" s="4">
        <f>+'202501anual'!M53</f>
        <v>130288100.03</v>
      </c>
      <c r="AH29" s="4">
        <f>+[25]Resultados!$M$41</f>
        <v>92947515</v>
      </c>
      <c r="AI29" s="4">
        <f t="shared" ref="AI29:AI92" si="45">+AG29-AH29</f>
        <v>37340585.030000001</v>
      </c>
      <c r="AJ29" s="4">
        <f>+'202501anual'!N53</f>
        <v>130288100.03</v>
      </c>
      <c r="AK29" s="4">
        <f>+[26]Resultados!$N$41</f>
        <v>104841757.05</v>
      </c>
      <c r="AL29" s="4">
        <f t="shared" ref="AL29:AL92" si="46">+AJ29-AK29</f>
        <v>25446342.980000004</v>
      </c>
      <c r="AM29" s="4">
        <f t="shared" ref="AM29:AM35" si="47">+C29+F29+I29+L29+O29+R29+U29+X29+AA29+AD29+AG29+AJ29</f>
        <v>1563457200.4849968</v>
      </c>
      <c r="AN29" s="4">
        <f t="shared" ref="AN29:AN49" si="48">+D29+G29+J29+M29+P29+S29+V29+Y29+AB29+AE29+AH29+AK29</f>
        <v>1184377338.7</v>
      </c>
      <c r="AO29" s="4">
        <f t="shared" ref="AO29:AO49" si="49">+AM29-AN29</f>
        <v>379079861.78499675</v>
      </c>
      <c r="AP29" s="43">
        <f>+AO29/AM29*100</f>
        <v>24.246257695279613</v>
      </c>
      <c r="AQ29" s="34"/>
      <c r="AR29" s="38"/>
      <c r="AS29" s="96"/>
      <c r="AT29" s="96"/>
      <c r="AU29" s="96"/>
      <c r="AV29" s="96"/>
      <c r="AX29" s="149"/>
      <c r="AY29" s="150"/>
      <c r="AZ29" s="150"/>
      <c r="BA29" s="151"/>
    </row>
    <row r="30" spans="1:53" ht="45" hidden="1" x14ac:dyDescent="0.25">
      <c r="A30" s="21" t="s">
        <v>65</v>
      </c>
      <c r="B30" s="4">
        <v>0</v>
      </c>
      <c r="C30" s="4">
        <v>0</v>
      </c>
      <c r="D30" s="4">
        <v>0</v>
      </c>
      <c r="E30" s="4">
        <f t="shared" si="36"/>
        <v>0</v>
      </c>
      <c r="F30" s="4"/>
      <c r="G30" s="10"/>
      <c r="H30" s="4">
        <f t="shared" si="37"/>
        <v>0</v>
      </c>
      <c r="I30" s="4"/>
      <c r="J30" s="10"/>
      <c r="K30" s="4">
        <f t="shared" si="38"/>
        <v>0</v>
      </c>
      <c r="L30" s="4"/>
      <c r="M30" s="4"/>
      <c r="N30" s="4">
        <f t="shared" si="39"/>
        <v>0</v>
      </c>
      <c r="O30" s="4"/>
      <c r="P30" s="10"/>
      <c r="Q30" s="4">
        <f t="shared" ref="Q30:Q35" si="50">+O30-P30</f>
        <v>0</v>
      </c>
      <c r="R30" s="4"/>
      <c r="S30" s="4"/>
      <c r="T30" s="4">
        <f t="shared" si="40"/>
        <v>0</v>
      </c>
      <c r="U30" s="4"/>
      <c r="V30" s="4"/>
      <c r="W30" s="4">
        <f t="shared" si="41"/>
        <v>0</v>
      </c>
      <c r="X30" s="4"/>
      <c r="Y30" s="4"/>
      <c r="Z30" s="4">
        <f t="shared" si="42"/>
        <v>0</v>
      </c>
      <c r="AA30" s="4"/>
      <c r="AB30" s="4"/>
      <c r="AC30" s="4">
        <f t="shared" si="43"/>
        <v>0</v>
      </c>
      <c r="AD30" s="4"/>
      <c r="AE30" s="10"/>
      <c r="AF30" s="4">
        <f t="shared" si="44"/>
        <v>0</v>
      </c>
      <c r="AG30" s="4"/>
      <c r="AH30" s="10"/>
      <c r="AI30" s="4">
        <f t="shared" si="45"/>
        <v>0</v>
      </c>
      <c r="AJ30" s="4"/>
      <c r="AK30" s="4"/>
      <c r="AL30" s="4">
        <f t="shared" si="46"/>
        <v>0</v>
      </c>
      <c r="AM30" s="4">
        <f t="shared" si="47"/>
        <v>0</v>
      </c>
      <c r="AN30" s="4">
        <f t="shared" si="48"/>
        <v>0</v>
      </c>
      <c r="AO30" s="4">
        <f t="shared" si="49"/>
        <v>0</v>
      </c>
      <c r="AP30" s="43" t="e">
        <f t="shared" ref="AP30:AP49" si="51">+AO30/AM30*100</f>
        <v>#DIV/0!</v>
      </c>
      <c r="AQ30" s="34"/>
      <c r="AR30" s="38"/>
      <c r="AS30" s="96"/>
      <c r="AT30" s="96"/>
      <c r="AU30" s="96"/>
      <c r="AV30" s="96"/>
      <c r="AX30" s="148"/>
      <c r="AY30" s="2"/>
      <c r="BA30" s="151"/>
    </row>
    <row r="31" spans="1:53" x14ac:dyDescent="0.25">
      <c r="A31" s="5" t="s">
        <v>16</v>
      </c>
      <c r="B31" s="4">
        <v>14000000</v>
      </c>
      <c r="C31" s="4">
        <v>0</v>
      </c>
      <c r="D31" s="4"/>
      <c r="E31" s="4">
        <f t="shared" si="36"/>
        <v>0</v>
      </c>
      <c r="F31" s="4">
        <v>0</v>
      </c>
      <c r="G31" s="4">
        <v>0</v>
      </c>
      <c r="H31" s="4">
        <f t="shared" si="37"/>
        <v>0</v>
      </c>
      <c r="I31" s="4">
        <v>0</v>
      </c>
      <c r="J31" s="4"/>
      <c r="K31" s="4">
        <f t="shared" si="38"/>
        <v>0</v>
      </c>
      <c r="L31" s="4"/>
      <c r="M31" s="4"/>
      <c r="N31" s="4">
        <f t="shared" si="39"/>
        <v>0</v>
      </c>
      <c r="O31" s="4">
        <f>+'202501anual'!G55</f>
        <v>8000000</v>
      </c>
      <c r="P31" s="4">
        <v>0</v>
      </c>
      <c r="Q31" s="4">
        <f t="shared" si="50"/>
        <v>8000000</v>
      </c>
      <c r="R31" s="4">
        <f>+'202501anual'!H55</f>
        <v>0</v>
      </c>
      <c r="S31" s="4">
        <v>0</v>
      </c>
      <c r="T31" s="4">
        <f t="shared" si="40"/>
        <v>0</v>
      </c>
      <c r="U31" s="4">
        <f>+'202501anual'!I55</f>
        <v>0</v>
      </c>
      <c r="V31" s="4"/>
      <c r="W31" s="4">
        <f t="shared" si="41"/>
        <v>0</v>
      </c>
      <c r="X31" s="4"/>
      <c r="Y31" s="4"/>
      <c r="Z31" s="4">
        <f t="shared" si="42"/>
        <v>0</v>
      </c>
      <c r="AA31" s="4"/>
      <c r="AB31" s="4"/>
      <c r="AC31" s="4">
        <f t="shared" si="43"/>
        <v>0</v>
      </c>
      <c r="AD31" s="4">
        <f>+'202501anual'!L55</f>
        <v>6000000</v>
      </c>
      <c r="AE31" s="4"/>
      <c r="AF31" s="4">
        <f t="shared" si="44"/>
        <v>6000000</v>
      </c>
      <c r="AG31" s="4">
        <f>+'202501anual'!M55</f>
        <v>0</v>
      </c>
      <c r="AH31" s="4"/>
      <c r="AI31" s="4">
        <f t="shared" si="45"/>
        <v>0</v>
      </c>
      <c r="AJ31" s="4">
        <f>+'202501anual'!N55</f>
        <v>0</v>
      </c>
      <c r="AK31" s="4">
        <v>0</v>
      </c>
      <c r="AL31" s="4">
        <f t="shared" si="46"/>
        <v>0</v>
      </c>
      <c r="AM31" s="4">
        <f>+C31+F31+I31+L31+O31+R31+U31+X31+AA31+AD31+AG31+AJ31</f>
        <v>14000000</v>
      </c>
      <c r="AN31" s="4">
        <f t="shared" si="48"/>
        <v>0</v>
      </c>
      <c r="AO31" s="4">
        <f t="shared" si="49"/>
        <v>14000000</v>
      </c>
      <c r="AP31" s="43">
        <f t="shared" si="51"/>
        <v>100</v>
      </c>
      <c r="AQ31" s="34"/>
      <c r="AR31" s="50"/>
      <c r="AS31" s="96"/>
      <c r="AT31" s="96"/>
      <c r="AU31" s="96"/>
      <c r="AV31" s="96"/>
      <c r="AX31" s="148"/>
      <c r="AY31" s="2"/>
      <c r="BA31" s="151"/>
    </row>
    <row r="32" spans="1:53" x14ac:dyDescent="0.25">
      <c r="A32" s="5" t="s">
        <v>17</v>
      </c>
      <c r="B32" s="4">
        <v>464052970</v>
      </c>
      <c r="C32" s="4">
        <v>3535856</v>
      </c>
      <c r="D32" s="4">
        <v>23350000</v>
      </c>
      <c r="E32" s="4">
        <f t="shared" si="36"/>
        <v>-19814144</v>
      </c>
      <c r="F32" s="4">
        <v>26500000</v>
      </c>
      <c r="G32" s="4">
        <v>82590000</v>
      </c>
      <c r="H32" s="4">
        <f t="shared" si="37"/>
        <v>-56090000</v>
      </c>
      <c r="I32" s="4">
        <v>52200000</v>
      </c>
      <c r="J32" s="4">
        <v>12435000</v>
      </c>
      <c r="K32" s="4">
        <f t="shared" si="38"/>
        <v>39765000</v>
      </c>
      <c r="L32" s="4">
        <f>+'202501anual'!F58</f>
        <v>52200000</v>
      </c>
      <c r="M32" s="4">
        <v>102956000</v>
      </c>
      <c r="N32" s="4">
        <f>+L32-M32</f>
        <v>-50756000</v>
      </c>
      <c r="O32" s="4">
        <f>+'202501anual'!G58</f>
        <v>52200000</v>
      </c>
      <c r="P32" s="4">
        <v>48706000</v>
      </c>
      <c r="Q32" s="4">
        <f t="shared" si="50"/>
        <v>3494000</v>
      </c>
      <c r="R32" s="4">
        <f>+'202501anual'!H58</f>
        <v>52200000</v>
      </c>
      <c r="S32" s="4">
        <v>45906000</v>
      </c>
      <c r="T32" s="4">
        <f t="shared" si="40"/>
        <v>6294000</v>
      </c>
      <c r="U32" s="4">
        <f>+'202501anual'!I58</f>
        <v>52200000</v>
      </c>
      <c r="V32" s="4">
        <v>47927000</v>
      </c>
      <c r="W32" s="4">
        <f t="shared" si="41"/>
        <v>4273000</v>
      </c>
      <c r="X32" s="4">
        <f>+'202501anual'!J58</f>
        <v>52200000</v>
      </c>
      <c r="Y32" s="4">
        <v>59712000</v>
      </c>
      <c r="Z32" s="4">
        <f t="shared" si="42"/>
        <v>-7512000</v>
      </c>
      <c r="AA32" s="4">
        <f>+'202501anual'!K58</f>
        <v>53400000</v>
      </c>
      <c r="AB32" s="4">
        <f>2400000+11800000+6650000+36400000</f>
        <v>57250000</v>
      </c>
      <c r="AC32" s="4">
        <f t="shared" si="43"/>
        <v>-3850000</v>
      </c>
      <c r="AD32" s="4">
        <f>+'202501anual'!L58</f>
        <v>52200000</v>
      </c>
      <c r="AE32" s="4">
        <f>17700000+48706000</f>
        <v>66406000</v>
      </c>
      <c r="AF32" s="4">
        <f t="shared" si="44"/>
        <v>-14206000</v>
      </c>
      <c r="AG32" s="4">
        <f>+'202501anual'!M58</f>
        <v>52200000</v>
      </c>
      <c r="AH32" s="4">
        <v>48706000</v>
      </c>
      <c r="AI32" s="4">
        <f t="shared" si="45"/>
        <v>3494000</v>
      </c>
      <c r="AJ32" s="4">
        <f>+'202501anual'!N58</f>
        <v>52200000</v>
      </c>
      <c r="AK32" s="4">
        <v>12000000</v>
      </c>
      <c r="AL32" s="4">
        <f t="shared" si="46"/>
        <v>40200000</v>
      </c>
      <c r="AM32" s="4">
        <f>+C32+F32+I32+L32+O32+R32+U32+X32+AA32+AD32+AG32+AJ32</f>
        <v>553235856</v>
      </c>
      <c r="AN32" s="4">
        <f t="shared" si="48"/>
        <v>607944000</v>
      </c>
      <c r="AO32" s="4">
        <f t="shared" si="49"/>
        <v>-54708144</v>
      </c>
      <c r="AP32" s="43">
        <f t="shared" si="51"/>
        <v>-9.8887560172889444</v>
      </c>
      <c r="AQ32" s="34"/>
      <c r="AR32" s="49"/>
      <c r="AS32" s="96"/>
      <c r="AT32" s="96"/>
      <c r="AU32" s="96"/>
      <c r="AV32" s="96"/>
      <c r="AX32" s="149"/>
      <c r="AY32" s="150"/>
      <c r="AZ32" s="150"/>
      <c r="BA32" s="151"/>
    </row>
    <row r="33" spans="1:53" x14ac:dyDescent="0.25">
      <c r="A33" s="5" t="s">
        <v>7</v>
      </c>
      <c r="B33" s="4">
        <v>195050000</v>
      </c>
      <c r="C33" s="4">
        <v>0</v>
      </c>
      <c r="D33" s="4"/>
      <c r="E33" s="4">
        <f t="shared" si="36"/>
        <v>0</v>
      </c>
      <c r="F33" s="4">
        <v>14690000</v>
      </c>
      <c r="G33" s="4">
        <v>0</v>
      </c>
      <c r="H33" s="4">
        <f t="shared" si="37"/>
        <v>14690000</v>
      </c>
      <c r="I33" s="4">
        <v>14690000</v>
      </c>
      <c r="J33" s="4"/>
      <c r="K33" s="4">
        <f t="shared" si="38"/>
        <v>14690000</v>
      </c>
      <c r="L33" s="4">
        <f>+'202501anual'!F62</f>
        <v>15490000</v>
      </c>
      <c r="M33" s="4">
        <v>6650000</v>
      </c>
      <c r="N33" s="4">
        <f>+L33-M33</f>
        <v>8840000</v>
      </c>
      <c r="O33" s="4">
        <f>+'202501anual'!G62</f>
        <v>48490000</v>
      </c>
      <c r="P33" s="4">
        <v>8120000</v>
      </c>
      <c r="Q33" s="4">
        <f t="shared" si="50"/>
        <v>40370000</v>
      </c>
      <c r="R33" s="4">
        <f>+'202501anual'!H62</f>
        <v>15490000</v>
      </c>
      <c r="S33" s="4">
        <v>6999671</v>
      </c>
      <c r="T33" s="4">
        <f t="shared" si="40"/>
        <v>8490329</v>
      </c>
      <c r="U33" s="4">
        <f>+'202501anual'!I62</f>
        <v>7200000</v>
      </c>
      <c r="V33" s="4">
        <v>0</v>
      </c>
      <c r="W33" s="4">
        <f t="shared" si="41"/>
        <v>7200000</v>
      </c>
      <c r="X33" s="4">
        <f>+'202501anual'!J62</f>
        <v>32200000</v>
      </c>
      <c r="Y33" s="4">
        <v>7432432</v>
      </c>
      <c r="Z33" s="4">
        <f t="shared" si="42"/>
        <v>24767568</v>
      </c>
      <c r="AA33" s="4">
        <f>+'202501anual'!K62</f>
        <v>12500000</v>
      </c>
      <c r="AB33" s="4">
        <f>8485000+3339951</f>
        <v>11824951</v>
      </c>
      <c r="AC33" s="83">
        <f t="shared" si="43"/>
        <v>675049</v>
      </c>
      <c r="AD33" s="4">
        <f>+'202501anual'!L62</f>
        <v>31700000</v>
      </c>
      <c r="AE33" s="4">
        <f>3622500+8730000+14549000+3099931+6650000</f>
        <v>36651431</v>
      </c>
      <c r="AF33" s="4">
        <f t="shared" si="44"/>
        <v>-4951431</v>
      </c>
      <c r="AG33" s="4">
        <f>+'202501anual'!M62</f>
        <v>13700000</v>
      </c>
      <c r="AH33" s="4">
        <f>26550000+3099931+6650000</f>
        <v>36299931</v>
      </c>
      <c r="AI33" s="4">
        <f t="shared" si="45"/>
        <v>-22599931</v>
      </c>
      <c r="AJ33" s="4">
        <f>+'202501anual'!N62</f>
        <v>18500000</v>
      </c>
      <c r="AK33" s="4">
        <v>11350000</v>
      </c>
      <c r="AL33" s="4">
        <f t="shared" si="46"/>
        <v>7150000</v>
      </c>
      <c r="AM33" s="4">
        <f>+C33+F33+I33+L33+O33+R33+U33+X33+AA33+AD33+AG33+AJ33</f>
        <v>224650000</v>
      </c>
      <c r="AN33" s="4">
        <f t="shared" si="48"/>
        <v>125328416</v>
      </c>
      <c r="AO33" s="4">
        <f t="shared" si="49"/>
        <v>99321584</v>
      </c>
      <c r="AP33" s="43">
        <f t="shared" si="51"/>
        <v>44.211699977743159</v>
      </c>
      <c r="AQ33" s="34"/>
      <c r="AR33" s="49"/>
      <c r="AS33" s="96"/>
      <c r="AT33" s="96"/>
      <c r="AU33" s="96"/>
      <c r="AV33" s="96"/>
      <c r="AX33" s="149"/>
      <c r="AY33" s="150"/>
      <c r="AZ33" s="150"/>
      <c r="BA33" s="150"/>
    </row>
    <row r="34" spans="1:53" x14ac:dyDescent="0.25">
      <c r="A34" s="5" t="s">
        <v>57</v>
      </c>
      <c r="B34" s="4">
        <v>608395249</v>
      </c>
      <c r="C34" s="4">
        <v>615690</v>
      </c>
      <c r="D34" s="4">
        <v>5803614</v>
      </c>
      <c r="E34" s="4">
        <f t="shared" si="36"/>
        <v>-5187924</v>
      </c>
      <c r="F34" s="4">
        <v>8611000</v>
      </c>
      <c r="G34" s="4">
        <f>92416121-92007192</f>
        <v>408929</v>
      </c>
      <c r="H34" s="4">
        <f t="shared" si="37"/>
        <v>8202071</v>
      </c>
      <c r="I34" s="4">
        <v>7111000</v>
      </c>
      <c r="J34" s="4">
        <v>6862338</v>
      </c>
      <c r="K34" s="4">
        <f t="shared" si="38"/>
        <v>248662</v>
      </c>
      <c r="L34" s="4">
        <f>+'202501anual'!F76</f>
        <v>7111000</v>
      </c>
      <c r="M34" s="4">
        <v>423155</v>
      </c>
      <c r="N34" s="4">
        <f t="shared" si="39"/>
        <v>6687845</v>
      </c>
      <c r="O34" s="4">
        <f>+'202501anual'!G76</f>
        <v>7111000</v>
      </c>
      <c r="P34" s="4">
        <f>791915+6650000</f>
        <v>7441915</v>
      </c>
      <c r="Q34" s="4">
        <f t="shared" si="50"/>
        <v>-330915</v>
      </c>
      <c r="R34" s="4">
        <f>+'202501anual'!H76</f>
        <v>7111000</v>
      </c>
      <c r="S34" s="4">
        <v>6975078</v>
      </c>
      <c r="T34" s="4">
        <f t="shared" si="40"/>
        <v>135922</v>
      </c>
      <c r="U34" s="4">
        <f>+'202501anual'!I76</f>
        <v>7111000</v>
      </c>
      <c r="V34" s="4">
        <f>6572590+6650000</f>
        <v>13222590</v>
      </c>
      <c r="W34" s="4">
        <f t="shared" si="41"/>
        <v>-6111590</v>
      </c>
      <c r="X34" s="4">
        <f>+'202501anual'!J76</f>
        <v>7111000</v>
      </c>
      <c r="Y34" s="4">
        <v>8451313</v>
      </c>
      <c r="Z34" s="4">
        <f t="shared" si="42"/>
        <v>-1340313</v>
      </c>
      <c r="AA34" s="4">
        <f>+'202501anual'!K76</f>
        <v>611000</v>
      </c>
      <c r="AB34" s="4">
        <f>212338+197226</f>
        <v>409564</v>
      </c>
      <c r="AC34" s="4">
        <f t="shared" si="43"/>
        <v>201436</v>
      </c>
      <c r="AD34" s="4">
        <f>+'202501anual'!L76</f>
        <v>611000</v>
      </c>
      <c r="AE34" s="4">
        <v>571266</v>
      </c>
      <c r="AF34" s="4">
        <f t="shared" si="44"/>
        <v>39734</v>
      </c>
      <c r="AG34" s="4">
        <f>+'202501anual'!M76</f>
        <v>611000</v>
      </c>
      <c r="AH34" s="4">
        <f>18605668+1725000+280253</f>
        <v>20610921</v>
      </c>
      <c r="AI34" s="4">
        <f t="shared" si="45"/>
        <v>-19999921</v>
      </c>
      <c r="AJ34" s="4">
        <f>+'202501anual'!N76</f>
        <v>26811000</v>
      </c>
      <c r="AK34" s="4">
        <v>304963</v>
      </c>
      <c r="AL34" s="4">
        <f t="shared" si="46"/>
        <v>26506037</v>
      </c>
      <c r="AM34" s="4">
        <f>+C34+F34+I34+L34+O34+R34+U34+X34+AA34+AD34+AG34+AJ34</f>
        <v>80536690</v>
      </c>
      <c r="AN34" s="4">
        <f t="shared" si="48"/>
        <v>71485646</v>
      </c>
      <c r="AO34" s="4">
        <f t="shared" si="49"/>
        <v>9051044</v>
      </c>
      <c r="AP34" s="43">
        <f t="shared" si="51"/>
        <v>11.238410716904308</v>
      </c>
      <c r="AQ34" s="34"/>
      <c r="AR34" s="36"/>
      <c r="AS34" s="96"/>
      <c r="AT34" s="101"/>
      <c r="AU34" s="96"/>
      <c r="AV34" s="96"/>
      <c r="AX34" s="148"/>
    </row>
    <row r="35" spans="1:53" hidden="1" x14ac:dyDescent="0.25">
      <c r="A35" s="5" t="s">
        <v>66</v>
      </c>
      <c r="B35" s="4">
        <v>0</v>
      </c>
      <c r="C35" s="4">
        <v>0</v>
      </c>
      <c r="D35" s="4"/>
      <c r="E35" s="4"/>
      <c r="F35" s="4"/>
      <c r="G35" s="4"/>
      <c r="H35" s="4"/>
      <c r="I35" s="4"/>
      <c r="J35" s="4"/>
      <c r="K35" s="4">
        <f t="shared" si="38"/>
        <v>0</v>
      </c>
      <c r="L35" s="4">
        <f>+'202501anual'!F83</f>
        <v>0</v>
      </c>
      <c r="M35" s="4">
        <v>0</v>
      </c>
      <c r="N35" s="4">
        <f t="shared" si="39"/>
        <v>0</v>
      </c>
      <c r="O35" s="4">
        <f>+'202501anual'!G83</f>
        <v>0</v>
      </c>
      <c r="P35" s="4">
        <v>0</v>
      </c>
      <c r="Q35" s="4">
        <f t="shared" si="50"/>
        <v>0</v>
      </c>
      <c r="R35" s="4">
        <f>+'202501anual'!H83</f>
        <v>0</v>
      </c>
      <c r="S35" s="4">
        <v>0</v>
      </c>
      <c r="T35" s="4">
        <f t="shared" si="40"/>
        <v>0</v>
      </c>
      <c r="U35" s="4">
        <f>+'202501anual'!K83</f>
        <v>0</v>
      </c>
      <c r="V35" s="4">
        <v>0</v>
      </c>
      <c r="W35" s="4">
        <f t="shared" si="41"/>
        <v>0</v>
      </c>
      <c r="X35" s="4">
        <f>+'202501anual'!J83</f>
        <v>0</v>
      </c>
      <c r="Y35" s="4">
        <v>0</v>
      </c>
      <c r="Z35" s="4">
        <f t="shared" si="42"/>
        <v>0</v>
      </c>
      <c r="AA35" s="4">
        <f>+'202501anual'!K83</f>
        <v>0</v>
      </c>
      <c r="AB35" s="4"/>
      <c r="AC35" s="4">
        <f t="shared" si="43"/>
        <v>0</v>
      </c>
      <c r="AD35" s="4"/>
      <c r="AE35" s="4"/>
      <c r="AF35" s="4">
        <f t="shared" si="44"/>
        <v>0</v>
      </c>
      <c r="AG35" s="4"/>
      <c r="AH35" s="4"/>
      <c r="AI35" s="4">
        <f t="shared" si="45"/>
        <v>0</v>
      </c>
      <c r="AJ35" s="4">
        <f>+'202501anual'!N83</f>
        <v>0</v>
      </c>
      <c r="AK35" s="4"/>
      <c r="AL35" s="4">
        <f t="shared" si="46"/>
        <v>0</v>
      </c>
      <c r="AM35" s="4">
        <f t="shared" si="47"/>
        <v>0</v>
      </c>
      <c r="AN35" s="4">
        <f t="shared" si="48"/>
        <v>0</v>
      </c>
      <c r="AO35" s="119">
        <f t="shared" si="49"/>
        <v>0</v>
      </c>
      <c r="AP35" s="43" t="e">
        <f t="shared" si="51"/>
        <v>#DIV/0!</v>
      </c>
      <c r="AQ35" s="34"/>
      <c r="AR35" s="38"/>
      <c r="AS35" s="96"/>
      <c r="AT35" s="101"/>
      <c r="AU35" s="101"/>
      <c r="AV35" s="96"/>
      <c r="AX35" s="148"/>
    </row>
    <row r="36" spans="1:53" x14ac:dyDescent="0.25">
      <c r="A36" s="12" t="s">
        <v>52</v>
      </c>
      <c r="B36" s="8">
        <f t="shared" ref="B36:AO36" si="52">SUM(B29:B35)</f>
        <v>2629687912.8599596</v>
      </c>
      <c r="C36" s="8">
        <f t="shared" si="52"/>
        <v>134439646.15499699</v>
      </c>
      <c r="D36" s="8">
        <f t="shared" si="52"/>
        <v>127725551</v>
      </c>
      <c r="E36" s="8">
        <f t="shared" si="52"/>
        <v>6714095.1549970061</v>
      </c>
      <c r="F36" s="8">
        <f t="shared" si="52"/>
        <v>180089100.03</v>
      </c>
      <c r="G36" s="8">
        <f t="shared" si="52"/>
        <v>188023888</v>
      </c>
      <c r="H36" s="8">
        <f>SUM(H29:H35)</f>
        <v>-7934787.9699999988</v>
      </c>
      <c r="I36" s="7">
        <f t="shared" si="52"/>
        <v>204289100.03</v>
      </c>
      <c r="J36" s="8">
        <f t="shared" si="52"/>
        <v>126825579</v>
      </c>
      <c r="K36" s="8">
        <f t="shared" si="52"/>
        <v>77463521.030000001</v>
      </c>
      <c r="L36" s="8">
        <f t="shared" si="52"/>
        <v>205089100.03</v>
      </c>
      <c r="M36" s="8">
        <f t="shared" si="52"/>
        <v>210655067.65000001</v>
      </c>
      <c r="N36" s="8">
        <f t="shared" si="52"/>
        <v>-5565967.6200000048</v>
      </c>
      <c r="O36" s="8">
        <f t="shared" si="52"/>
        <v>246089100.03</v>
      </c>
      <c r="P36" s="8">
        <f t="shared" si="52"/>
        <v>167152084</v>
      </c>
      <c r="Q36" s="8">
        <f t="shared" si="52"/>
        <v>78937016.030000001</v>
      </c>
      <c r="R36" s="8">
        <f t="shared" si="52"/>
        <v>205089100.03</v>
      </c>
      <c r="S36" s="8">
        <f t="shared" si="52"/>
        <v>162764918</v>
      </c>
      <c r="T36" s="8">
        <f>SUM(T29:T35)</f>
        <v>42324182.030000001</v>
      </c>
      <c r="U36" s="8">
        <f t="shared" ref="U36" si="53">SUM(U29:U35)</f>
        <v>196799100.03</v>
      </c>
      <c r="V36" s="8">
        <f t="shared" si="52"/>
        <v>156211151</v>
      </c>
      <c r="W36" s="8">
        <f t="shared" si="52"/>
        <v>40587949.030000001</v>
      </c>
      <c r="X36" s="8">
        <f t="shared" si="52"/>
        <v>221799100.03</v>
      </c>
      <c r="Y36" s="8">
        <f t="shared" si="52"/>
        <v>167234986</v>
      </c>
      <c r="Z36" s="8">
        <f t="shared" si="52"/>
        <v>54564114.030000001</v>
      </c>
      <c r="AA36" s="8">
        <f t="shared" si="52"/>
        <v>196799100.03</v>
      </c>
      <c r="AB36" s="8">
        <f t="shared" si="52"/>
        <v>164169129</v>
      </c>
      <c r="AC36" s="8">
        <f t="shared" si="52"/>
        <v>32629971.030000016</v>
      </c>
      <c r="AD36" s="8">
        <f t="shared" si="52"/>
        <v>220799100.03</v>
      </c>
      <c r="AE36" s="8">
        <f t="shared" si="52"/>
        <v>191311960</v>
      </c>
      <c r="AF36" s="8">
        <f t="shared" si="52"/>
        <v>29487140.030000001</v>
      </c>
      <c r="AG36" s="8">
        <f t="shared" si="52"/>
        <v>196799100.03</v>
      </c>
      <c r="AH36" s="8">
        <f t="shared" si="52"/>
        <v>198564367</v>
      </c>
      <c r="AI36" s="8">
        <f t="shared" si="52"/>
        <v>-1765266.9699999988</v>
      </c>
      <c r="AJ36" s="8">
        <f t="shared" si="52"/>
        <v>227799100.03</v>
      </c>
      <c r="AK36" s="8">
        <f t="shared" si="52"/>
        <v>128496720.05</v>
      </c>
      <c r="AL36" s="8">
        <f t="shared" si="52"/>
        <v>99302379.980000004</v>
      </c>
      <c r="AM36" s="8">
        <f t="shared" si="52"/>
        <v>2435879746.4849968</v>
      </c>
      <c r="AN36" s="8">
        <f t="shared" si="52"/>
        <v>1989135400.7</v>
      </c>
      <c r="AO36" s="8">
        <f t="shared" si="52"/>
        <v>446744345.78499675</v>
      </c>
      <c r="AP36" s="31">
        <f>+AO36/AM36</f>
        <v>0.18340164223199198</v>
      </c>
      <c r="AQ36" s="34"/>
      <c r="AR36" s="50">
        <f>AL36/AJ36</f>
        <v>0.43592086170192235</v>
      </c>
      <c r="AS36" s="96"/>
      <c r="AT36" s="101"/>
      <c r="AU36" s="101"/>
      <c r="AV36" s="96"/>
      <c r="AX36" s="148"/>
    </row>
    <row r="37" spans="1:53" x14ac:dyDescent="0.25">
      <c r="A37" s="21" t="s">
        <v>55</v>
      </c>
      <c r="B37" s="4">
        <v>286095540.14507371</v>
      </c>
      <c r="C37" s="4">
        <v>23841295.012089472</v>
      </c>
      <c r="D37" s="4">
        <v>19992001.199999999</v>
      </c>
      <c r="E37" s="4">
        <f t="shared" si="36"/>
        <v>3849293.812089473</v>
      </c>
      <c r="F37" s="4">
        <v>23841295.012089472</v>
      </c>
      <c r="G37" s="4">
        <v>23300738</v>
      </c>
      <c r="H37" s="4">
        <f t="shared" si="37"/>
        <v>540557.01208947226</v>
      </c>
      <c r="I37" s="4">
        <v>23841295.012089472</v>
      </c>
      <c r="J37" s="4">
        <v>14091315.686390024</v>
      </c>
      <c r="K37" s="4">
        <f t="shared" si="38"/>
        <v>9749979.3256994486</v>
      </c>
      <c r="L37" s="4">
        <f>+I37</f>
        <v>23841295.012089472</v>
      </c>
      <c r="M37" s="78">
        <v>9459279</v>
      </c>
      <c r="N37" s="4">
        <f t="shared" ref="N37:N49" si="54">+L37-M37</f>
        <v>14382016.012089472</v>
      </c>
      <c r="O37" s="78">
        <f>+L37</f>
        <v>23841295.012089472</v>
      </c>
      <c r="P37" s="78">
        <v>11051165</v>
      </c>
      <c r="Q37" s="78">
        <f t="shared" ref="Q37:Q49" si="55">+O37-P37</f>
        <v>12790130.012089472</v>
      </c>
      <c r="R37" s="78">
        <f>+O37</f>
        <v>23841295.012089472</v>
      </c>
      <c r="S37" s="4">
        <v>15612140.280000001</v>
      </c>
      <c r="T37" s="4">
        <f t="shared" si="40"/>
        <v>8229154.7320894711</v>
      </c>
      <c r="U37" s="78">
        <f>+R37</f>
        <v>23841295.012089472</v>
      </c>
      <c r="V37" s="78">
        <v>16304777</v>
      </c>
      <c r="W37" s="4">
        <f t="shared" ref="W37:W49" si="56">+U37-V37</f>
        <v>7536518.0120894723</v>
      </c>
      <c r="X37" s="145">
        <f>+U37</f>
        <v>23841295.012089472</v>
      </c>
      <c r="Y37" s="78">
        <v>15754478</v>
      </c>
      <c r="Z37" s="4">
        <f t="shared" si="42"/>
        <v>8086817.0120894723</v>
      </c>
      <c r="AA37" s="78">
        <f>+'202501anual'!K86</f>
        <v>23841295.012089472</v>
      </c>
      <c r="AB37" s="78">
        <v>16154969</v>
      </c>
      <c r="AC37" s="4">
        <f t="shared" si="43"/>
        <v>7686326.0120894723</v>
      </c>
      <c r="AD37" s="78">
        <f>+'202501anual'!L86</f>
        <v>23841295.012089472</v>
      </c>
      <c r="AE37" s="78">
        <v>18276904</v>
      </c>
      <c r="AF37" s="4">
        <f t="shared" si="44"/>
        <v>5564391.0120894723</v>
      </c>
      <c r="AG37" s="78">
        <f>+AD37</f>
        <v>23841295.012089472</v>
      </c>
      <c r="AH37" s="78"/>
      <c r="AI37" s="4">
        <f t="shared" si="45"/>
        <v>23841295.012089472</v>
      </c>
      <c r="AJ37" s="4">
        <f>+AG37</f>
        <v>23841295.012089472</v>
      </c>
      <c r="AK37" s="4">
        <f>75210429.03*0.4243</f>
        <v>31911785.037429001</v>
      </c>
      <c r="AL37" s="4">
        <f t="shared" si="46"/>
        <v>-8070490.0253395289</v>
      </c>
      <c r="AM37" s="4">
        <f>+C37+F37+I37+L37+O37+R37+U37+X37+AA37+AD37+AG37+AJ37</f>
        <v>286095540.14507359</v>
      </c>
      <c r="AN37" s="4">
        <f t="shared" si="48"/>
        <v>191909552.20381904</v>
      </c>
      <c r="AO37" s="4">
        <f t="shared" si="49"/>
        <v>94185987.941254556</v>
      </c>
      <c r="AP37" s="43">
        <f t="shared" si="51"/>
        <v>32.921166087907082</v>
      </c>
      <c r="AQ37" s="34"/>
      <c r="AR37" s="36"/>
      <c r="AS37" s="96"/>
      <c r="AT37" s="101"/>
      <c r="AU37" s="96"/>
      <c r="AV37" s="96"/>
      <c r="AW37" s="2"/>
    </row>
    <row r="38" spans="1:53" x14ac:dyDescent="0.25">
      <c r="A38" s="21" t="str">
        <f>+'202501anual'!A87</f>
        <v>Contribuciones CRA-SUPER</v>
      </c>
      <c r="B38" s="4">
        <v>0</v>
      </c>
      <c r="C38" s="4">
        <v>0</v>
      </c>
      <c r="D38" s="4"/>
      <c r="E38" s="4">
        <f t="shared" si="36"/>
        <v>0</v>
      </c>
      <c r="F38" s="4">
        <v>20000000</v>
      </c>
      <c r="G38" s="4">
        <v>25970000</v>
      </c>
      <c r="H38" s="4">
        <f t="shared" si="37"/>
        <v>-5970000</v>
      </c>
      <c r="I38" s="4">
        <v>0</v>
      </c>
      <c r="J38" s="4">
        <v>0</v>
      </c>
      <c r="K38" s="4">
        <f t="shared" si="38"/>
        <v>0</v>
      </c>
      <c r="L38" s="4">
        <v>0</v>
      </c>
      <c r="M38" s="78"/>
      <c r="N38" s="4">
        <f t="shared" si="54"/>
        <v>0</v>
      </c>
      <c r="O38" s="78"/>
      <c r="P38" s="78"/>
      <c r="Q38" s="78">
        <f t="shared" si="55"/>
        <v>0</v>
      </c>
      <c r="R38" s="78">
        <v>0</v>
      </c>
      <c r="S38" s="4">
        <v>0</v>
      </c>
      <c r="T38" s="4">
        <f t="shared" si="40"/>
        <v>0</v>
      </c>
      <c r="U38" s="78">
        <v>0</v>
      </c>
      <c r="V38" s="48">
        <v>0</v>
      </c>
      <c r="W38" s="4">
        <f t="shared" si="56"/>
        <v>0</v>
      </c>
      <c r="X38" s="145">
        <f>+'202501anual'!J87</f>
        <v>16000000</v>
      </c>
      <c r="Y38" s="78">
        <v>0</v>
      </c>
      <c r="Z38" s="4">
        <f t="shared" si="42"/>
        <v>16000000</v>
      </c>
      <c r="AA38" s="78">
        <f>+'202501anual'!K87</f>
        <v>0</v>
      </c>
      <c r="AB38" s="78">
        <v>0</v>
      </c>
      <c r="AC38" s="83">
        <f t="shared" si="43"/>
        <v>0</v>
      </c>
      <c r="AD38" s="78">
        <f>+'202501anual'!L87</f>
        <v>0</v>
      </c>
      <c r="AE38" s="4"/>
      <c r="AF38" s="4">
        <f t="shared" si="44"/>
        <v>0</v>
      </c>
      <c r="AG38" s="78">
        <f>+'202501anual'!M87</f>
        <v>0</v>
      </c>
      <c r="AH38" s="78">
        <v>0</v>
      </c>
      <c r="AI38" s="4">
        <f t="shared" si="45"/>
        <v>0</v>
      </c>
      <c r="AJ38" s="4">
        <f>+'202501anual'!N87</f>
        <v>0</v>
      </c>
      <c r="AK38" s="4"/>
      <c r="AL38" s="4">
        <f t="shared" si="46"/>
        <v>0</v>
      </c>
      <c r="AM38" s="4">
        <f t="shared" ref="AM38:AM49" si="57">+C38+F38+I38+L38+O38+R38+U38+X38+AA38+AD38+AG38+AJ38</f>
        <v>36000000</v>
      </c>
      <c r="AN38" s="4">
        <f t="shared" si="48"/>
        <v>25970000</v>
      </c>
      <c r="AO38" s="4">
        <f t="shared" si="49"/>
        <v>10030000</v>
      </c>
      <c r="AP38" s="43">
        <f t="shared" si="51"/>
        <v>27.861111111111107</v>
      </c>
      <c r="AQ38" s="34"/>
      <c r="AR38" s="36"/>
      <c r="AS38" s="96"/>
      <c r="AT38" s="101"/>
      <c r="AU38" s="96"/>
      <c r="AV38" s="96"/>
      <c r="AW38" s="2"/>
      <c r="AX38" s="148"/>
      <c r="AY38" s="96"/>
      <c r="AZ38" s="96"/>
      <c r="BA38" s="96"/>
    </row>
    <row r="39" spans="1:53" x14ac:dyDescent="0.25">
      <c r="A39" s="21" t="str">
        <f>+'202501anual'!A88</f>
        <v>Servicios software INTEGRIN</v>
      </c>
      <c r="B39" s="4">
        <v>20000000</v>
      </c>
      <c r="C39" s="4">
        <v>900000</v>
      </c>
      <c r="D39" s="4"/>
      <c r="E39" s="4">
        <f t="shared" si="36"/>
        <v>900000</v>
      </c>
      <c r="F39" s="4">
        <v>5000000</v>
      </c>
      <c r="G39" s="4">
        <v>928980</v>
      </c>
      <c r="H39" s="4">
        <f t="shared" si="37"/>
        <v>4071020</v>
      </c>
      <c r="I39" s="4">
        <v>1500000</v>
      </c>
      <c r="J39" s="4">
        <v>4063730</v>
      </c>
      <c r="K39" s="4">
        <f t="shared" si="38"/>
        <v>-2563730</v>
      </c>
      <c r="L39" s="4">
        <f>+'202501anual'!F88</f>
        <v>1500000</v>
      </c>
      <c r="M39" s="78">
        <v>2031865</v>
      </c>
      <c r="N39" s="4">
        <f t="shared" si="54"/>
        <v>-531865</v>
      </c>
      <c r="O39" s="4">
        <f>+'202501anual'!G88</f>
        <v>1500000</v>
      </c>
      <c r="P39" s="78">
        <v>2031865</v>
      </c>
      <c r="Q39" s="78">
        <f t="shared" si="55"/>
        <v>-531865</v>
      </c>
      <c r="R39" s="4">
        <f>+'202501anual'!H88</f>
        <v>1500000</v>
      </c>
      <c r="S39" s="4">
        <v>2031865</v>
      </c>
      <c r="T39" s="4">
        <f t="shared" si="40"/>
        <v>-531865</v>
      </c>
      <c r="U39" s="4">
        <f>+'202501anual'!I88</f>
        <v>1500000</v>
      </c>
      <c r="V39" s="4">
        <v>2031865</v>
      </c>
      <c r="W39" s="4">
        <f t="shared" si="56"/>
        <v>-531865</v>
      </c>
      <c r="X39" s="145">
        <f t="shared" ref="X39:X48" si="58">+U39</f>
        <v>1500000</v>
      </c>
      <c r="Y39" s="78">
        <v>2031865</v>
      </c>
      <c r="Z39" s="4">
        <f t="shared" si="42"/>
        <v>-531865</v>
      </c>
      <c r="AA39" s="78">
        <f>+'202501anual'!K88</f>
        <v>1500000</v>
      </c>
      <c r="AB39" s="78">
        <f>+[23]Resultados!$K$119</f>
        <v>37091695.649999999</v>
      </c>
      <c r="AC39" s="4">
        <f t="shared" si="43"/>
        <v>-35591695.649999999</v>
      </c>
      <c r="AD39" s="78">
        <f>+'202501anual'!L88</f>
        <v>1500000</v>
      </c>
      <c r="AE39" s="4">
        <v>2031865</v>
      </c>
      <c r="AF39" s="4">
        <f t="shared" si="44"/>
        <v>-531865</v>
      </c>
      <c r="AG39" s="78">
        <f>+'202501anual'!M88</f>
        <v>1500000</v>
      </c>
      <c r="AH39" s="78">
        <v>2031865</v>
      </c>
      <c r="AI39" s="4">
        <f t="shared" si="45"/>
        <v>-531865</v>
      </c>
      <c r="AJ39" s="4">
        <f>+'202501anual'!N88</f>
        <v>1500000</v>
      </c>
      <c r="AK39" s="4">
        <f>+AG37+AG51</f>
        <v>56194926.863844164</v>
      </c>
      <c r="AL39" s="4">
        <f t="shared" si="46"/>
        <v>-54694926.863844164</v>
      </c>
      <c r="AM39" s="4">
        <f t="shared" si="57"/>
        <v>20900000</v>
      </c>
      <c r="AN39" s="4">
        <f t="shared" si="48"/>
        <v>112502387.51384416</v>
      </c>
      <c r="AO39" s="4">
        <f t="shared" si="49"/>
        <v>-91602387.513844162</v>
      </c>
      <c r="AP39" s="43">
        <f t="shared" si="51"/>
        <v>-438.28893547293859</v>
      </c>
      <c r="AQ39" s="34"/>
      <c r="AR39" s="36"/>
      <c r="AS39" s="96"/>
      <c r="AT39" s="101"/>
      <c r="AU39" s="96"/>
      <c r="AV39" s="96"/>
      <c r="AW39" s="2"/>
      <c r="AX39" s="148"/>
      <c r="AY39" s="96"/>
      <c r="AZ39" s="96"/>
      <c r="BA39" s="96"/>
    </row>
    <row r="40" spans="1:53" x14ac:dyDescent="0.25">
      <c r="A40" s="21" t="str">
        <f>+'202501anual'!A96</f>
        <v>Dotación de papelería y facturación</v>
      </c>
      <c r="B40" s="4">
        <v>31500000</v>
      </c>
      <c r="C40" s="4">
        <v>0</v>
      </c>
      <c r="D40" s="4"/>
      <c r="E40" s="4">
        <f t="shared" si="36"/>
        <v>0</v>
      </c>
      <c r="F40" s="4">
        <v>0</v>
      </c>
      <c r="G40" s="4">
        <v>11600</v>
      </c>
      <c r="H40" s="4">
        <f t="shared" si="37"/>
        <v>-11600</v>
      </c>
      <c r="I40" s="4">
        <v>0</v>
      </c>
      <c r="J40" s="4">
        <v>0</v>
      </c>
      <c r="K40" s="4">
        <f t="shared" si="38"/>
        <v>0</v>
      </c>
      <c r="L40" s="4">
        <f>+'202501anual'!F96</f>
        <v>2000000</v>
      </c>
      <c r="M40" s="78"/>
      <c r="N40" s="4">
        <f t="shared" si="54"/>
        <v>2000000</v>
      </c>
      <c r="O40" s="4">
        <f>+'202501anual'!G96</f>
        <v>2000000</v>
      </c>
      <c r="P40" s="78"/>
      <c r="Q40" s="78">
        <f t="shared" si="55"/>
        <v>2000000</v>
      </c>
      <c r="R40" s="4">
        <f>+'202501anual'!H96</f>
        <v>2000000</v>
      </c>
      <c r="S40" s="4">
        <v>0</v>
      </c>
      <c r="T40" s="4">
        <f t="shared" si="40"/>
        <v>2000000</v>
      </c>
      <c r="U40" s="4">
        <f>+'202501anual'!I96</f>
        <v>2000000</v>
      </c>
      <c r="V40" s="4">
        <v>5929000</v>
      </c>
      <c r="W40" s="4">
        <f t="shared" si="56"/>
        <v>-3929000</v>
      </c>
      <c r="X40" s="145">
        <f t="shared" si="58"/>
        <v>2000000</v>
      </c>
      <c r="Y40" s="78">
        <v>0</v>
      </c>
      <c r="Z40" s="4">
        <f t="shared" si="42"/>
        <v>2000000</v>
      </c>
      <c r="AA40" s="78">
        <f>+'202501anual'!K96</f>
        <v>2000000</v>
      </c>
      <c r="AB40" s="78">
        <v>5921300</v>
      </c>
      <c r="AC40" s="4">
        <f t="shared" si="43"/>
        <v>-3921300</v>
      </c>
      <c r="AD40" s="78">
        <f>+'202501anual'!L96</f>
        <v>2000000</v>
      </c>
      <c r="AE40" s="4">
        <v>11600</v>
      </c>
      <c r="AF40" s="4">
        <f t="shared" si="44"/>
        <v>1988400</v>
      </c>
      <c r="AG40" s="78">
        <f>+'202501anual'!M96</f>
        <v>2000000</v>
      </c>
      <c r="AH40" s="78"/>
      <c r="AI40" s="4">
        <f t="shared" si="45"/>
        <v>2000000</v>
      </c>
      <c r="AJ40" s="4">
        <f>+'202501anual'!N96</f>
        <v>2000000</v>
      </c>
      <c r="AK40" s="166">
        <f>+AG37/AK39*100</f>
        <v>42.42606288972496</v>
      </c>
      <c r="AL40" s="4">
        <f t="shared" si="46"/>
        <v>1999957.5739371104</v>
      </c>
      <c r="AM40" s="4">
        <f t="shared" si="57"/>
        <v>18000000</v>
      </c>
      <c r="AN40" s="4">
        <f t="shared" si="48"/>
        <v>11873542.426062889</v>
      </c>
      <c r="AO40" s="4">
        <f t="shared" si="49"/>
        <v>6126457.5739371106</v>
      </c>
      <c r="AP40" s="43">
        <f t="shared" si="51"/>
        <v>34.035875410761726</v>
      </c>
      <c r="AQ40" s="34"/>
      <c r="AR40" s="49"/>
      <c r="AS40" s="2"/>
      <c r="AU40" s="2"/>
      <c r="AX40" s="148"/>
      <c r="AY40" s="96"/>
      <c r="AZ40" s="96"/>
      <c r="BA40" s="96"/>
    </row>
    <row r="41" spans="1:53" hidden="1" x14ac:dyDescent="0.25">
      <c r="A41" s="21" t="str">
        <f>+'202501anual'!A90</f>
        <v>Pagina WEB-Dominio actualizacion software</v>
      </c>
      <c r="B41" s="4">
        <v>369000</v>
      </c>
      <c r="C41" s="4">
        <v>0</v>
      </c>
      <c r="D41" s="4"/>
      <c r="E41" s="4">
        <f t="shared" si="36"/>
        <v>0</v>
      </c>
      <c r="F41" s="4">
        <v>0</v>
      </c>
      <c r="G41" s="4">
        <v>0</v>
      </c>
      <c r="H41" s="4">
        <f t="shared" si="37"/>
        <v>0</v>
      </c>
      <c r="I41" s="4">
        <v>0</v>
      </c>
      <c r="J41" s="4">
        <v>0</v>
      </c>
      <c r="K41" s="4">
        <f t="shared" si="38"/>
        <v>0</v>
      </c>
      <c r="L41" s="4">
        <v>0</v>
      </c>
      <c r="M41" s="78"/>
      <c r="N41" s="4">
        <f t="shared" si="54"/>
        <v>0</v>
      </c>
      <c r="O41" s="4">
        <v>0</v>
      </c>
      <c r="P41" s="78"/>
      <c r="Q41" s="78">
        <f t="shared" si="55"/>
        <v>0</v>
      </c>
      <c r="R41" s="4">
        <v>0</v>
      </c>
      <c r="S41" s="4"/>
      <c r="T41" s="4">
        <f t="shared" si="40"/>
        <v>0</v>
      </c>
      <c r="U41" s="4">
        <v>0</v>
      </c>
      <c r="V41" s="4"/>
      <c r="W41" s="4">
        <f t="shared" si="56"/>
        <v>0</v>
      </c>
      <c r="X41" s="78">
        <f t="shared" si="58"/>
        <v>0</v>
      </c>
      <c r="Y41" s="78"/>
      <c r="Z41" s="4">
        <f t="shared" si="42"/>
        <v>0</v>
      </c>
      <c r="AA41" s="78"/>
      <c r="AB41" s="78"/>
      <c r="AC41" s="4">
        <f t="shared" si="43"/>
        <v>0</v>
      </c>
      <c r="AD41" s="78"/>
      <c r="AE41" s="4"/>
      <c r="AF41" s="4">
        <f t="shared" si="44"/>
        <v>0</v>
      </c>
      <c r="AG41" s="78"/>
      <c r="AH41" s="78"/>
      <c r="AI41" s="4">
        <f t="shared" si="45"/>
        <v>0</v>
      </c>
      <c r="AJ41" s="4"/>
      <c r="AK41" s="4"/>
      <c r="AL41" s="4">
        <f t="shared" si="46"/>
        <v>0</v>
      </c>
      <c r="AM41" s="4">
        <f t="shared" si="57"/>
        <v>0</v>
      </c>
      <c r="AN41" s="4">
        <f t="shared" si="48"/>
        <v>0</v>
      </c>
      <c r="AO41" s="4">
        <f t="shared" si="49"/>
        <v>0</v>
      </c>
      <c r="AP41" s="43" t="e">
        <f t="shared" si="51"/>
        <v>#DIV/0!</v>
      </c>
      <c r="AQ41" s="34"/>
      <c r="AR41" s="49"/>
      <c r="AS41" s="2"/>
      <c r="AU41" s="24"/>
      <c r="AX41" s="148"/>
      <c r="AY41" s="96"/>
      <c r="AZ41" s="96"/>
      <c r="BA41" s="96"/>
    </row>
    <row r="42" spans="1:53" x14ac:dyDescent="0.25">
      <c r="A42" s="21" t="s">
        <v>194</v>
      </c>
      <c r="B42" s="4">
        <v>0</v>
      </c>
      <c r="C42" s="4">
        <v>0</v>
      </c>
      <c r="D42" s="4"/>
      <c r="E42" s="4">
        <f t="shared" si="36"/>
        <v>0</v>
      </c>
      <c r="F42" s="4">
        <v>0</v>
      </c>
      <c r="G42" s="4">
        <v>0</v>
      </c>
      <c r="H42" s="4">
        <f t="shared" si="37"/>
        <v>0</v>
      </c>
      <c r="I42" s="4">
        <v>0</v>
      </c>
      <c r="J42" s="4">
        <v>0</v>
      </c>
      <c r="K42" s="4">
        <f t="shared" si="38"/>
        <v>0</v>
      </c>
      <c r="L42" s="4">
        <f>+'202501anual'!F102</f>
        <v>0</v>
      </c>
      <c r="M42" s="78"/>
      <c r="N42" s="4">
        <f t="shared" si="54"/>
        <v>0</v>
      </c>
      <c r="O42" s="4">
        <f>+'202501anual'!G116</f>
        <v>150000000</v>
      </c>
      <c r="P42" s="78"/>
      <c r="Q42" s="78">
        <f t="shared" si="55"/>
        <v>150000000</v>
      </c>
      <c r="R42" s="4">
        <f>+'202501anual'!H116</f>
        <v>150000000</v>
      </c>
      <c r="S42" s="4">
        <v>0</v>
      </c>
      <c r="T42" s="4">
        <f t="shared" si="40"/>
        <v>150000000</v>
      </c>
      <c r="U42" s="4">
        <f>+'202501anual'!I116</f>
        <v>0</v>
      </c>
      <c r="V42" s="4">
        <v>0</v>
      </c>
      <c r="W42" s="4">
        <f t="shared" si="56"/>
        <v>0</v>
      </c>
      <c r="X42" s="78">
        <f t="shared" si="58"/>
        <v>0</v>
      </c>
      <c r="Y42" s="78">
        <v>0</v>
      </c>
      <c r="Z42" s="4">
        <f t="shared" si="42"/>
        <v>0</v>
      </c>
      <c r="AA42" s="78">
        <v>0</v>
      </c>
      <c r="AB42" s="78"/>
      <c r="AC42" s="4">
        <f t="shared" si="43"/>
        <v>0</v>
      </c>
      <c r="AD42" s="78">
        <v>0</v>
      </c>
      <c r="AE42" s="4"/>
      <c r="AF42" s="4">
        <f t="shared" si="44"/>
        <v>0</v>
      </c>
      <c r="AG42" s="78"/>
      <c r="AH42" s="78"/>
      <c r="AI42" s="4">
        <f t="shared" si="45"/>
        <v>0</v>
      </c>
      <c r="AJ42" s="4"/>
      <c r="AK42" s="4"/>
      <c r="AL42" s="4">
        <f t="shared" si="46"/>
        <v>0</v>
      </c>
      <c r="AM42" s="4">
        <f t="shared" si="57"/>
        <v>300000000</v>
      </c>
      <c r="AN42" s="4">
        <f t="shared" si="48"/>
        <v>0</v>
      </c>
      <c r="AO42" s="4">
        <f t="shared" si="49"/>
        <v>300000000</v>
      </c>
      <c r="AP42" s="43">
        <f t="shared" si="51"/>
        <v>100</v>
      </c>
      <c r="AQ42" s="34"/>
      <c r="AR42" s="49"/>
      <c r="AS42" s="2"/>
      <c r="AX42" s="148"/>
      <c r="AY42" s="96"/>
      <c r="AZ42" s="96"/>
      <c r="BA42" s="96"/>
    </row>
    <row r="43" spans="1:53" hidden="1" x14ac:dyDescent="0.25">
      <c r="A43" s="21" t="str">
        <f>+'202501anual'!A104</f>
        <v>Otras compras y servicios</v>
      </c>
      <c r="B43" s="4">
        <v>0</v>
      </c>
      <c r="C43" s="4">
        <v>0</v>
      </c>
      <c r="D43" s="4"/>
      <c r="E43" s="4">
        <f t="shared" si="36"/>
        <v>0</v>
      </c>
      <c r="F43" s="4">
        <v>0</v>
      </c>
      <c r="G43" s="4">
        <v>0</v>
      </c>
      <c r="H43" s="4">
        <f t="shared" si="37"/>
        <v>0</v>
      </c>
      <c r="I43" s="4">
        <v>0</v>
      </c>
      <c r="J43" s="4">
        <v>0</v>
      </c>
      <c r="K43" s="4">
        <f t="shared" si="38"/>
        <v>0</v>
      </c>
      <c r="L43" s="4">
        <f>+'202501anual'!F104</f>
        <v>0</v>
      </c>
      <c r="M43" s="78"/>
      <c r="N43" s="4">
        <f t="shared" si="54"/>
        <v>0</v>
      </c>
      <c r="O43" s="4">
        <f>+'202501anual'!G104</f>
        <v>0</v>
      </c>
      <c r="P43" s="78"/>
      <c r="Q43" s="78">
        <f t="shared" si="55"/>
        <v>0</v>
      </c>
      <c r="R43" s="4">
        <f>+'202501anual'!H104</f>
        <v>0</v>
      </c>
      <c r="S43" s="4"/>
      <c r="T43" s="4">
        <f t="shared" si="40"/>
        <v>0</v>
      </c>
      <c r="U43" s="4">
        <f>+'202501anual'!K104</f>
        <v>0</v>
      </c>
      <c r="V43" s="4"/>
      <c r="W43" s="4">
        <f t="shared" si="56"/>
        <v>0</v>
      </c>
      <c r="X43" s="78">
        <f t="shared" si="58"/>
        <v>0</v>
      </c>
      <c r="Y43" s="78"/>
      <c r="Z43" s="4">
        <f t="shared" si="42"/>
        <v>0</v>
      </c>
      <c r="AA43" s="78"/>
      <c r="AB43" s="78"/>
      <c r="AC43" s="4">
        <f t="shared" si="43"/>
        <v>0</v>
      </c>
      <c r="AD43" s="78"/>
      <c r="AE43" s="4"/>
      <c r="AF43" s="4">
        <f t="shared" si="44"/>
        <v>0</v>
      </c>
      <c r="AG43" s="78"/>
      <c r="AH43" s="78"/>
      <c r="AI43" s="4">
        <f t="shared" si="45"/>
        <v>0</v>
      </c>
      <c r="AJ43" s="4"/>
      <c r="AK43" s="4"/>
      <c r="AL43" s="4">
        <f t="shared" si="46"/>
        <v>0</v>
      </c>
      <c r="AM43" s="4">
        <f t="shared" si="57"/>
        <v>0</v>
      </c>
      <c r="AN43" s="4">
        <f t="shared" si="48"/>
        <v>0</v>
      </c>
      <c r="AO43" s="4">
        <f t="shared" si="49"/>
        <v>0</v>
      </c>
      <c r="AP43" s="43" t="e">
        <f t="shared" si="51"/>
        <v>#DIV/0!</v>
      </c>
      <c r="AQ43" s="34"/>
      <c r="AR43" s="49"/>
      <c r="AS43" s="2"/>
      <c r="AX43" s="148"/>
      <c r="AY43" s="96"/>
      <c r="AZ43" s="96"/>
      <c r="BA43" s="96"/>
    </row>
    <row r="44" spans="1:53" x14ac:dyDescent="0.25">
      <c r="A44" s="21" t="str">
        <f>+'202501anual'!A107</f>
        <v>Plan de medios</v>
      </c>
      <c r="B44" s="4">
        <v>98500718</v>
      </c>
      <c r="C44" s="4">
        <v>4750000</v>
      </c>
      <c r="D44" s="4"/>
      <c r="E44" s="4">
        <f t="shared" si="36"/>
        <v>4750000</v>
      </c>
      <c r="F44" s="4">
        <v>4750000</v>
      </c>
      <c r="G44" s="4">
        <v>2300000</v>
      </c>
      <c r="H44" s="4">
        <f t="shared" si="37"/>
        <v>2450000</v>
      </c>
      <c r="I44" s="4">
        <v>7280000</v>
      </c>
      <c r="J44" s="4">
        <v>2300000</v>
      </c>
      <c r="K44" s="4">
        <f t="shared" si="38"/>
        <v>4980000</v>
      </c>
      <c r="L44" s="4">
        <f>+'202501anual'!F107</f>
        <v>4750000</v>
      </c>
      <c r="M44" s="78">
        <v>10000000</v>
      </c>
      <c r="N44" s="4">
        <f t="shared" si="54"/>
        <v>-5250000</v>
      </c>
      <c r="O44" s="4">
        <f>+'202501anual'!G107</f>
        <v>4750000</v>
      </c>
      <c r="P44" s="78">
        <f>4750000+176000</f>
        <v>4926000</v>
      </c>
      <c r="Q44" s="78">
        <f t="shared" si="55"/>
        <v>-176000</v>
      </c>
      <c r="R44" s="4">
        <f>+'202501anual'!H107</f>
        <v>4750000</v>
      </c>
      <c r="S44" s="4">
        <v>4750000</v>
      </c>
      <c r="T44" s="4">
        <f t="shared" si="40"/>
        <v>0</v>
      </c>
      <c r="U44" s="4">
        <f>+'202501anual'!I107</f>
        <v>4750000</v>
      </c>
      <c r="V44" s="4">
        <v>4750000</v>
      </c>
      <c r="W44" s="4">
        <f t="shared" si="56"/>
        <v>0</v>
      </c>
      <c r="X44" s="145">
        <f t="shared" si="58"/>
        <v>4750000</v>
      </c>
      <c r="Y44" s="78">
        <v>4750000</v>
      </c>
      <c r="Z44" s="4">
        <f t="shared" si="42"/>
        <v>0</v>
      </c>
      <c r="AA44" s="78">
        <f>+'202501anual'!K107</f>
        <v>4750000</v>
      </c>
      <c r="AB44" s="78">
        <v>4750000</v>
      </c>
      <c r="AC44" s="4">
        <f t="shared" si="43"/>
        <v>0</v>
      </c>
      <c r="AD44" s="78">
        <f>+'202501anual'!L107</f>
        <v>4750000</v>
      </c>
      <c r="AE44" s="4">
        <v>4750000</v>
      </c>
      <c r="AF44" s="4">
        <f t="shared" si="44"/>
        <v>0</v>
      </c>
      <c r="AG44" s="78">
        <f>+'202501anual'!M107</f>
        <v>4750000</v>
      </c>
      <c r="AH44" s="78">
        <v>4750000</v>
      </c>
      <c r="AI44" s="4">
        <f t="shared" si="45"/>
        <v>0</v>
      </c>
      <c r="AJ44" s="4">
        <f>+'202501anual'!N107</f>
        <v>4750000</v>
      </c>
      <c r="AK44" s="4">
        <v>2223333</v>
      </c>
      <c r="AL44" s="4">
        <f t="shared" si="46"/>
        <v>2526667</v>
      </c>
      <c r="AM44" s="4">
        <f t="shared" si="57"/>
        <v>59530000</v>
      </c>
      <c r="AN44" s="4">
        <f t="shared" si="48"/>
        <v>50249333</v>
      </c>
      <c r="AO44" s="4">
        <f t="shared" si="49"/>
        <v>9280667</v>
      </c>
      <c r="AP44" s="43">
        <f t="shared" si="51"/>
        <v>15.589899210482111</v>
      </c>
      <c r="AQ44" s="34"/>
      <c r="AR44" s="49"/>
      <c r="AS44" s="2"/>
      <c r="AX44" s="148"/>
      <c r="AY44" s="96"/>
      <c r="AZ44" s="96"/>
      <c r="BA44" s="96"/>
    </row>
    <row r="45" spans="1:53" x14ac:dyDescent="0.25">
      <c r="A45" s="21" t="str">
        <f>+'202501anual'!A117</f>
        <v>Recaudos</v>
      </c>
      <c r="B45" s="4">
        <v>55200000</v>
      </c>
      <c r="C45" s="4">
        <v>4600000</v>
      </c>
      <c r="D45" s="4">
        <v>878772</v>
      </c>
      <c r="E45" s="4">
        <f t="shared" si="36"/>
        <v>3721228</v>
      </c>
      <c r="F45" s="4">
        <v>4600000</v>
      </c>
      <c r="G45" s="4">
        <v>904004</v>
      </c>
      <c r="H45" s="4">
        <f t="shared" si="37"/>
        <v>3695996</v>
      </c>
      <c r="I45" s="4">
        <v>4600000</v>
      </c>
      <c r="J45" s="4">
        <v>1036164</v>
      </c>
      <c r="K45" s="4">
        <f t="shared" si="38"/>
        <v>3563836</v>
      </c>
      <c r="L45" s="4">
        <f>+'202501anual'!F117</f>
        <v>4600000</v>
      </c>
      <c r="M45" s="78"/>
      <c r="N45" s="4">
        <f t="shared" si="54"/>
        <v>4600000</v>
      </c>
      <c r="O45" s="4">
        <f>+'202501anual'!G117</f>
        <v>4600000</v>
      </c>
      <c r="P45" s="78">
        <v>1034071</v>
      </c>
      <c r="Q45" s="78">
        <f t="shared" si="55"/>
        <v>3565929</v>
      </c>
      <c r="R45" s="4">
        <f>+'202501anual'!H117</f>
        <v>4600000</v>
      </c>
      <c r="S45" s="4">
        <v>888702</v>
      </c>
      <c r="T45" s="4">
        <f t="shared" si="40"/>
        <v>3711298</v>
      </c>
      <c r="U45" s="4">
        <f>+'202501anual'!I117</f>
        <v>4600000</v>
      </c>
      <c r="V45" s="4">
        <v>1116400</v>
      </c>
      <c r="W45" s="4">
        <f t="shared" si="56"/>
        <v>3483600</v>
      </c>
      <c r="X45" s="145">
        <f t="shared" si="58"/>
        <v>4600000</v>
      </c>
      <c r="Y45" s="78">
        <v>966310</v>
      </c>
      <c r="Z45" s="4">
        <f t="shared" si="42"/>
        <v>3633690</v>
      </c>
      <c r="AA45" s="78">
        <f>+'202501anual'!K117</f>
        <v>4600000</v>
      </c>
      <c r="AB45" s="78">
        <v>909960</v>
      </c>
      <c r="AC45" s="4">
        <f t="shared" si="43"/>
        <v>3690040</v>
      </c>
      <c r="AD45" s="78">
        <f>+'202501anual'!L117</f>
        <v>4600000</v>
      </c>
      <c r="AE45" s="4">
        <v>1308973</v>
      </c>
      <c r="AF45" s="4">
        <f t="shared" si="44"/>
        <v>3291027</v>
      </c>
      <c r="AG45" s="78">
        <f>+'202501anual'!M117</f>
        <v>4600000</v>
      </c>
      <c r="AH45" s="78">
        <v>1121480</v>
      </c>
      <c r="AI45" s="4">
        <f t="shared" si="45"/>
        <v>3478520</v>
      </c>
      <c r="AJ45" s="4">
        <f>+'202501anual'!N117</f>
        <v>4600000</v>
      </c>
      <c r="AK45" s="4">
        <v>878772</v>
      </c>
      <c r="AL45" s="4">
        <f t="shared" si="46"/>
        <v>3721228</v>
      </c>
      <c r="AM45" s="4">
        <f t="shared" si="57"/>
        <v>55200000</v>
      </c>
      <c r="AN45" s="4">
        <f t="shared" si="48"/>
        <v>11043608</v>
      </c>
      <c r="AO45" s="4">
        <f t="shared" si="49"/>
        <v>44156392</v>
      </c>
      <c r="AP45" s="43">
        <f t="shared" si="51"/>
        <v>79.993463768115944</v>
      </c>
      <c r="AQ45" s="34"/>
      <c r="AR45" s="49"/>
      <c r="AS45" s="2"/>
      <c r="AX45" s="148"/>
      <c r="AY45" s="96"/>
      <c r="AZ45" s="96"/>
      <c r="BA45" s="96"/>
    </row>
    <row r="46" spans="1:53" x14ac:dyDescent="0.25">
      <c r="A46" s="21" t="str">
        <f>+'202501anual'!A123</f>
        <v xml:space="preserve">Alquiler de mulas y vehículos de transporte </v>
      </c>
      <c r="B46" s="4">
        <v>69600000</v>
      </c>
      <c r="C46" s="4">
        <v>5800000</v>
      </c>
      <c r="D46" s="4"/>
      <c r="E46" s="4">
        <f t="shared" si="36"/>
        <v>5800000</v>
      </c>
      <c r="F46" s="4">
        <v>5800000</v>
      </c>
      <c r="G46" s="4">
        <v>5513753</v>
      </c>
      <c r="H46" s="4">
        <f t="shared" si="37"/>
        <v>286247</v>
      </c>
      <c r="I46" s="4">
        <v>5800000</v>
      </c>
      <c r="J46" s="4">
        <v>4980164</v>
      </c>
      <c r="K46" s="4">
        <f t="shared" si="38"/>
        <v>819836</v>
      </c>
      <c r="L46" s="4">
        <f>+'202501anual'!F123</f>
        <v>5800000</v>
      </c>
      <c r="M46" s="78">
        <v>2845808</v>
      </c>
      <c r="N46" s="4">
        <f t="shared" si="54"/>
        <v>2954192</v>
      </c>
      <c r="O46" s="4">
        <f>+'202501anual'!G123</f>
        <v>5800000</v>
      </c>
      <c r="P46" s="78">
        <v>3201534</v>
      </c>
      <c r="Q46" s="78">
        <f t="shared" si="55"/>
        <v>2598466</v>
      </c>
      <c r="R46" s="4">
        <f>+'202501anual'!H123</f>
        <v>5800000</v>
      </c>
      <c r="S46" s="4">
        <v>3177863</v>
      </c>
      <c r="T46" s="4">
        <f t="shared" si="40"/>
        <v>2622137</v>
      </c>
      <c r="U46" s="4">
        <f>+'202501anual'!I123</f>
        <v>5800000</v>
      </c>
      <c r="V46" s="4">
        <v>3000000</v>
      </c>
      <c r="W46" s="4">
        <f t="shared" si="56"/>
        <v>2800000</v>
      </c>
      <c r="X46" s="145">
        <f t="shared" si="58"/>
        <v>5800000</v>
      </c>
      <c r="Y46" s="78">
        <v>3100000</v>
      </c>
      <c r="Z46" s="4">
        <f t="shared" si="42"/>
        <v>2700000</v>
      </c>
      <c r="AA46" s="78">
        <f>+'202501anual'!K123</f>
        <v>5800000</v>
      </c>
      <c r="AB46" s="78">
        <v>3100000</v>
      </c>
      <c r="AC46" s="4">
        <f t="shared" si="43"/>
        <v>2700000</v>
      </c>
      <c r="AD46" s="78">
        <f>+'202501anual'!L123</f>
        <v>5800000</v>
      </c>
      <c r="AE46" s="4">
        <v>3000000</v>
      </c>
      <c r="AF46" s="4">
        <f t="shared" si="44"/>
        <v>2800000</v>
      </c>
      <c r="AG46" s="78">
        <f>+'202501anual'!M123</f>
        <v>5800000</v>
      </c>
      <c r="AH46" s="78">
        <v>3100000</v>
      </c>
      <c r="AI46" s="4">
        <f t="shared" si="45"/>
        <v>2700000</v>
      </c>
      <c r="AJ46" s="4">
        <f>+'202501anual'!N123</f>
        <v>5800000</v>
      </c>
      <c r="AK46" s="4"/>
      <c r="AL46" s="4">
        <f t="shared" si="46"/>
        <v>5800000</v>
      </c>
      <c r="AM46" s="4">
        <f t="shared" si="57"/>
        <v>69600000</v>
      </c>
      <c r="AN46" s="4">
        <f t="shared" si="48"/>
        <v>35019122</v>
      </c>
      <c r="AO46" s="4">
        <f t="shared" si="49"/>
        <v>34580878</v>
      </c>
      <c r="AP46" s="43">
        <f t="shared" si="51"/>
        <v>49.685169540229886</v>
      </c>
      <c r="AQ46" s="34"/>
      <c r="AR46" s="49"/>
      <c r="AS46" s="2"/>
      <c r="AX46" s="148"/>
      <c r="AY46" s="2"/>
      <c r="AZ46" s="2"/>
      <c r="BA46" s="2"/>
    </row>
    <row r="47" spans="1:53" hidden="1" x14ac:dyDescent="0.25">
      <c r="A47" s="21" t="str">
        <f>+'202501anual'!A135</f>
        <v>Asesoria y argue sui</v>
      </c>
      <c r="B47" s="4">
        <v>0</v>
      </c>
      <c r="C47" s="4">
        <v>0</v>
      </c>
      <c r="D47" s="4"/>
      <c r="E47" s="4">
        <f t="shared" si="36"/>
        <v>0</v>
      </c>
      <c r="F47" s="4"/>
      <c r="G47" s="4"/>
      <c r="H47" s="4">
        <f t="shared" si="37"/>
        <v>0</v>
      </c>
      <c r="I47" s="4"/>
      <c r="J47" s="4"/>
      <c r="K47" s="4">
        <f t="shared" si="38"/>
        <v>0</v>
      </c>
      <c r="L47" s="4"/>
      <c r="M47" s="78"/>
      <c r="N47" s="4">
        <f t="shared" si="54"/>
        <v>0</v>
      </c>
      <c r="O47" s="4"/>
      <c r="P47" s="78"/>
      <c r="Q47" s="78">
        <f t="shared" si="55"/>
        <v>0</v>
      </c>
      <c r="R47" s="4"/>
      <c r="S47" s="4"/>
      <c r="T47" s="4">
        <f t="shared" si="40"/>
        <v>0</v>
      </c>
      <c r="U47" s="4"/>
      <c r="V47" s="4"/>
      <c r="W47" s="4">
        <f t="shared" si="56"/>
        <v>0</v>
      </c>
      <c r="X47" s="145">
        <f t="shared" si="58"/>
        <v>0</v>
      </c>
      <c r="Y47" s="78"/>
      <c r="Z47" s="4">
        <f t="shared" si="42"/>
        <v>0</v>
      </c>
      <c r="AA47" s="78"/>
      <c r="AB47" s="78"/>
      <c r="AC47" s="4">
        <f t="shared" si="43"/>
        <v>0</v>
      </c>
      <c r="AD47" s="78"/>
      <c r="AE47" s="4"/>
      <c r="AF47" s="4">
        <f t="shared" si="44"/>
        <v>0</v>
      </c>
      <c r="AG47" s="78"/>
      <c r="AH47" s="78"/>
      <c r="AI47" s="4">
        <f t="shared" si="45"/>
        <v>0</v>
      </c>
      <c r="AJ47" s="4"/>
      <c r="AK47" s="4"/>
      <c r="AL47" s="4">
        <f t="shared" si="46"/>
        <v>0</v>
      </c>
      <c r="AM47" s="4">
        <f t="shared" si="57"/>
        <v>0</v>
      </c>
      <c r="AN47" s="4">
        <f t="shared" si="48"/>
        <v>0</v>
      </c>
      <c r="AO47" s="4">
        <f t="shared" si="49"/>
        <v>0</v>
      </c>
      <c r="AP47" s="43" t="e">
        <f t="shared" si="51"/>
        <v>#DIV/0!</v>
      </c>
      <c r="AQ47" s="34"/>
      <c r="AR47" s="49"/>
      <c r="AS47" s="2"/>
      <c r="AX47" s="148"/>
      <c r="AY47" s="2"/>
    </row>
    <row r="48" spans="1:53" x14ac:dyDescent="0.25">
      <c r="A48" s="21" t="str">
        <f>+'202501anual'!A121</f>
        <v>Transporte Agua potable</v>
      </c>
      <c r="B48" s="4">
        <v>37500000</v>
      </c>
      <c r="C48" s="4">
        <v>2000000</v>
      </c>
      <c r="D48" s="4">
        <v>2223333</v>
      </c>
      <c r="E48" s="4">
        <f t="shared" si="36"/>
        <v>-223333</v>
      </c>
      <c r="F48" s="4">
        <v>3000000</v>
      </c>
      <c r="G48" s="4">
        <v>0</v>
      </c>
      <c r="H48" s="4">
        <f t="shared" si="37"/>
        <v>3000000</v>
      </c>
      <c r="I48" s="4">
        <v>3000000</v>
      </c>
      <c r="J48" s="4">
        <v>0</v>
      </c>
      <c r="K48" s="4">
        <f t="shared" si="38"/>
        <v>3000000</v>
      </c>
      <c r="L48" s="4">
        <f>+'202501anual'!F121</f>
        <v>3500000</v>
      </c>
      <c r="M48" s="78"/>
      <c r="N48" s="4">
        <f t="shared" si="54"/>
        <v>3500000</v>
      </c>
      <c r="O48" s="4">
        <f>+'202501anual'!G121</f>
        <v>3500000</v>
      </c>
      <c r="P48" s="78"/>
      <c r="Q48" s="78">
        <f t="shared" si="55"/>
        <v>3500000</v>
      </c>
      <c r="R48" s="4">
        <f>+'202501anual'!H121</f>
        <v>3500000</v>
      </c>
      <c r="S48" s="4">
        <v>0</v>
      </c>
      <c r="T48" s="4">
        <f t="shared" si="40"/>
        <v>3500000</v>
      </c>
      <c r="U48" s="4">
        <f>+'202501anual'!I121</f>
        <v>3500000</v>
      </c>
      <c r="V48" s="4">
        <v>0</v>
      </c>
      <c r="W48" s="4">
        <f t="shared" si="56"/>
        <v>3500000</v>
      </c>
      <c r="X48" s="145">
        <f t="shared" si="58"/>
        <v>3500000</v>
      </c>
      <c r="Y48" s="78">
        <v>0</v>
      </c>
      <c r="Z48" s="4">
        <f t="shared" si="42"/>
        <v>3500000</v>
      </c>
      <c r="AA48" s="78">
        <f>+'202501anual'!K121</f>
        <v>3500000</v>
      </c>
      <c r="AB48" s="78">
        <v>0</v>
      </c>
      <c r="AC48" s="4">
        <f t="shared" si="43"/>
        <v>3500000</v>
      </c>
      <c r="AD48" s="78">
        <f>+'202501anual'!L121</f>
        <v>3500000</v>
      </c>
      <c r="AE48" s="4"/>
      <c r="AF48" s="4">
        <f t="shared" si="44"/>
        <v>3500000</v>
      </c>
      <c r="AG48" s="78">
        <f>+'202501anual'!M121</f>
        <v>3500000</v>
      </c>
      <c r="AH48" s="78"/>
      <c r="AI48" s="4">
        <f t="shared" si="45"/>
        <v>3500000</v>
      </c>
      <c r="AJ48" s="4">
        <f>+'202501anual'!N121</f>
        <v>3500000</v>
      </c>
      <c r="AK48" s="4"/>
      <c r="AL48" s="4">
        <f t="shared" si="46"/>
        <v>3500000</v>
      </c>
      <c r="AM48" s="4">
        <f t="shared" si="57"/>
        <v>39500000</v>
      </c>
      <c r="AN48" s="4">
        <f t="shared" si="48"/>
        <v>2223333</v>
      </c>
      <c r="AO48" s="4">
        <f t="shared" si="49"/>
        <v>37276667</v>
      </c>
      <c r="AP48" s="43">
        <f t="shared" si="51"/>
        <v>94.371308860759498</v>
      </c>
      <c r="AQ48" s="34"/>
      <c r="AR48" s="49"/>
      <c r="AS48" s="96"/>
      <c r="AX48" s="148"/>
      <c r="AY48" s="2"/>
      <c r="AZ48" s="2"/>
      <c r="BA48" s="2"/>
    </row>
    <row r="49" spans="1:51" x14ac:dyDescent="0.25">
      <c r="A49" s="21" t="str">
        <f>+'202501anual'!A138</f>
        <v>Camp-de sensi-y concient PUEAA (inc-materiales)</v>
      </c>
      <c r="B49" s="4">
        <f>+'202501anual'!B138</f>
        <v>8000000</v>
      </c>
      <c r="C49" s="4">
        <f>+'202501anual'!C138</f>
        <v>0</v>
      </c>
      <c r="D49" s="4"/>
      <c r="E49" s="4">
        <f t="shared" si="36"/>
        <v>0</v>
      </c>
      <c r="F49" s="4"/>
      <c r="G49" s="4"/>
      <c r="H49" s="4">
        <f t="shared" si="37"/>
        <v>0</v>
      </c>
      <c r="I49" s="48"/>
      <c r="J49" s="4"/>
      <c r="K49" s="4">
        <f t="shared" si="38"/>
        <v>0</v>
      </c>
      <c r="L49" s="78">
        <f>+'202501anual'!F138</f>
        <v>0</v>
      </c>
      <c r="M49" s="78"/>
      <c r="N49" s="4">
        <f t="shared" si="54"/>
        <v>0</v>
      </c>
      <c r="O49" s="78">
        <f>+'202501anual'!G138</f>
        <v>4000000</v>
      </c>
      <c r="P49" s="78"/>
      <c r="Q49" s="78">
        <f t="shared" si="55"/>
        <v>4000000</v>
      </c>
      <c r="R49" s="78">
        <f>+'202501anual'!H138</f>
        <v>0</v>
      </c>
      <c r="S49" s="4">
        <v>0</v>
      </c>
      <c r="T49" s="4">
        <f t="shared" si="40"/>
        <v>0</v>
      </c>
      <c r="U49" s="78">
        <f>+'202501anual'!I138</f>
        <v>0</v>
      </c>
      <c r="V49" s="4">
        <v>0</v>
      </c>
      <c r="W49" s="4">
        <f t="shared" si="56"/>
        <v>0</v>
      </c>
      <c r="X49" s="4"/>
      <c r="Y49" s="78">
        <v>0</v>
      </c>
      <c r="Z49" s="4">
        <f t="shared" si="42"/>
        <v>0</v>
      </c>
      <c r="AA49" s="78">
        <f>+'202501anual'!K138</f>
        <v>0</v>
      </c>
      <c r="AB49" s="78">
        <v>0</v>
      </c>
      <c r="AC49" s="4">
        <f t="shared" si="43"/>
        <v>0</v>
      </c>
      <c r="AD49" s="78">
        <f>+'202501anual'!L138</f>
        <v>4000000</v>
      </c>
      <c r="AE49" s="4"/>
      <c r="AF49" s="4">
        <f t="shared" si="44"/>
        <v>4000000</v>
      </c>
      <c r="AG49" s="78">
        <f>+'202501anual'!M138</f>
        <v>0</v>
      </c>
      <c r="AH49" s="78"/>
      <c r="AI49" s="4">
        <f t="shared" si="45"/>
        <v>0</v>
      </c>
      <c r="AJ49" s="78">
        <f>+'202501anual'!N138</f>
        <v>0</v>
      </c>
      <c r="AK49" s="4"/>
      <c r="AL49" s="4">
        <f t="shared" si="46"/>
        <v>0</v>
      </c>
      <c r="AM49" s="4">
        <f t="shared" si="57"/>
        <v>8000000</v>
      </c>
      <c r="AN49" s="4">
        <f t="shared" si="48"/>
        <v>0</v>
      </c>
      <c r="AO49" s="4">
        <f t="shared" si="49"/>
        <v>8000000</v>
      </c>
      <c r="AP49" s="43">
        <f t="shared" si="51"/>
        <v>100</v>
      </c>
      <c r="AQ49" s="34"/>
      <c r="AR49" s="49"/>
      <c r="AS49" s="96"/>
      <c r="AX49" s="148"/>
      <c r="AY49" s="2"/>
    </row>
    <row r="50" spans="1:51" x14ac:dyDescent="0.25">
      <c r="A50" s="12" t="s">
        <v>169</v>
      </c>
      <c r="B50" s="8">
        <f t="shared" ref="B50:U50" si="59">SUM(B37:B49)</f>
        <v>606765258.14507365</v>
      </c>
      <c r="C50" s="8">
        <f t="shared" si="59"/>
        <v>41891295.012089476</v>
      </c>
      <c r="D50" s="8">
        <f t="shared" si="59"/>
        <v>23094106.199999999</v>
      </c>
      <c r="E50" s="8">
        <f t="shared" si="59"/>
        <v>18797188.812089473</v>
      </c>
      <c r="F50" s="8">
        <f t="shared" si="59"/>
        <v>66991295.012089476</v>
      </c>
      <c r="G50" s="8">
        <f t="shared" si="59"/>
        <v>58929075</v>
      </c>
      <c r="H50" s="8">
        <f t="shared" si="59"/>
        <v>8062220.0120894723</v>
      </c>
      <c r="I50" s="8">
        <f t="shared" si="59"/>
        <v>46021295.012089476</v>
      </c>
      <c r="J50" s="8">
        <f t="shared" si="59"/>
        <v>26471373.686390024</v>
      </c>
      <c r="K50" s="8">
        <f t="shared" si="59"/>
        <v>19549921.325699449</v>
      </c>
      <c r="L50" s="8">
        <f t="shared" si="59"/>
        <v>45991295.012089476</v>
      </c>
      <c r="M50" s="8">
        <f t="shared" si="59"/>
        <v>24336952</v>
      </c>
      <c r="N50" s="8">
        <f t="shared" si="59"/>
        <v>21654343.012089472</v>
      </c>
      <c r="O50" s="8">
        <f t="shared" si="59"/>
        <v>199991295.01208946</v>
      </c>
      <c r="P50" s="8">
        <f t="shared" si="59"/>
        <v>22244635</v>
      </c>
      <c r="Q50" s="8">
        <f t="shared" si="59"/>
        <v>177746660.01208946</v>
      </c>
      <c r="R50" s="8">
        <f t="shared" si="59"/>
        <v>195991295.01208946</v>
      </c>
      <c r="S50" s="8">
        <f t="shared" si="59"/>
        <v>26460570.280000001</v>
      </c>
      <c r="T50" s="8">
        <f t="shared" si="59"/>
        <v>169530724.73208946</v>
      </c>
      <c r="U50" s="8">
        <f t="shared" si="59"/>
        <v>45991295.012089476</v>
      </c>
      <c r="V50" s="8">
        <f t="shared" ref="V50:AL50" si="60">SUM(V37:V49)</f>
        <v>33132042</v>
      </c>
      <c r="W50" s="8">
        <f t="shared" si="60"/>
        <v>12859253.012089472</v>
      </c>
      <c r="X50" s="8">
        <f>SUM(X37:X49)</f>
        <v>61991295.012089476</v>
      </c>
      <c r="Y50" s="8">
        <f t="shared" si="60"/>
        <v>26602653</v>
      </c>
      <c r="Z50" s="8">
        <f t="shared" si="60"/>
        <v>35388642.012089476</v>
      </c>
      <c r="AA50" s="8">
        <f t="shared" si="60"/>
        <v>45991295.012089476</v>
      </c>
      <c r="AB50" s="8">
        <f t="shared" si="60"/>
        <v>67927924.650000006</v>
      </c>
      <c r="AC50" s="8">
        <f t="shared" si="60"/>
        <v>-21936629.637910526</v>
      </c>
      <c r="AD50" s="8">
        <f t="shared" si="60"/>
        <v>49991295.012089476</v>
      </c>
      <c r="AE50" s="8">
        <f t="shared" si="60"/>
        <v>29379342</v>
      </c>
      <c r="AF50" s="8">
        <f t="shared" si="60"/>
        <v>20611953.012089472</v>
      </c>
      <c r="AG50" s="8">
        <f t="shared" si="60"/>
        <v>45991295.012089476</v>
      </c>
      <c r="AH50" s="8">
        <f t="shared" si="60"/>
        <v>11003345</v>
      </c>
      <c r="AI50" s="8">
        <f t="shared" si="60"/>
        <v>34987950.012089476</v>
      </c>
      <c r="AJ50" s="8">
        <f t="shared" ref="AJ50" si="61">SUM(AJ37:AJ49)</f>
        <v>45991295.012089476</v>
      </c>
      <c r="AK50" s="8">
        <f t="shared" si="60"/>
        <v>91208859.327336058</v>
      </c>
      <c r="AL50" s="8">
        <f t="shared" si="60"/>
        <v>-45217564.315246582</v>
      </c>
      <c r="AM50" s="8">
        <f>SUM(AM37:AM49)</f>
        <v>892825540.14507365</v>
      </c>
      <c r="AN50" s="8">
        <f>SUM(AN37:AN49)</f>
        <v>440790878.14372605</v>
      </c>
      <c r="AO50" s="8">
        <f>SUM(AO37:AO49)</f>
        <v>452034662.00134748</v>
      </c>
      <c r="AP50" s="31">
        <f>+AO50/AM50</f>
        <v>0.50629674183368134</v>
      </c>
      <c r="AQ50" s="34"/>
      <c r="AR50" s="50">
        <f>AL50/AJ50</f>
        <v>-0.98317658381570883</v>
      </c>
      <c r="AS50" s="2"/>
      <c r="AY50" s="2"/>
    </row>
    <row r="51" spans="1:51" x14ac:dyDescent="0.25">
      <c r="A51" s="21" t="s">
        <v>54</v>
      </c>
      <c r="B51" s="4">
        <v>388243582.22105634</v>
      </c>
      <c r="C51" s="4">
        <v>32353631.851754691</v>
      </c>
      <c r="D51" s="4">
        <v>22488001.800000001</v>
      </c>
      <c r="E51" s="4">
        <f t="shared" si="36"/>
        <v>9865630.0517546907</v>
      </c>
      <c r="F51" s="4">
        <v>32353631.851754691</v>
      </c>
      <c r="G51" s="4">
        <v>31620074</v>
      </c>
      <c r="H51" s="4">
        <f t="shared" si="37"/>
        <v>733557.85175469145</v>
      </c>
      <c r="I51" s="4">
        <v>32353631.851754691</v>
      </c>
      <c r="J51" s="4">
        <v>22385360.033609975</v>
      </c>
      <c r="K51" s="4">
        <f t="shared" ref="K51:K92" si="62">+I51-J51</f>
        <v>9968271.8181447163</v>
      </c>
      <c r="L51" s="4">
        <f>+I51</f>
        <v>32353631.851754691</v>
      </c>
      <c r="M51" s="78">
        <f>35389109.28-9459279</f>
        <v>25929830.280000001</v>
      </c>
      <c r="N51" s="4">
        <f t="shared" ref="N51:N92" si="63">+L51-M51</f>
        <v>6423801.5717546903</v>
      </c>
      <c r="O51" s="4">
        <f>+L51</f>
        <v>32353631.851754691</v>
      </c>
      <c r="P51" s="4">
        <f>37171763.28-11051165</f>
        <v>26120598.280000001</v>
      </c>
      <c r="Q51" s="4">
        <f t="shared" ref="Q51:Q92" si="64">+O51-P51</f>
        <v>6233033.5717546903</v>
      </c>
      <c r="R51" s="4">
        <f>+O51</f>
        <v>32353631.851754691</v>
      </c>
      <c r="S51" s="4">
        <v>21559623</v>
      </c>
      <c r="T51" s="4">
        <f>+R51-S51</f>
        <v>10794008.851754691</v>
      </c>
      <c r="U51" s="4">
        <f>+R51</f>
        <v>32353631.851754691</v>
      </c>
      <c r="V51" s="4">
        <v>21238858</v>
      </c>
      <c r="W51" s="4">
        <f t="shared" ref="W51:W92" si="65">+U51-V51</f>
        <v>11114773.851754691</v>
      </c>
      <c r="X51" s="145">
        <f t="shared" ref="X51:X92" si="66">+U51</f>
        <v>32353631.851754691</v>
      </c>
      <c r="Y51" s="4">
        <v>20515214</v>
      </c>
      <c r="Z51" s="4">
        <f t="shared" ref="Z51:Z92" si="67">+X51-Y51</f>
        <v>11838417.851754691</v>
      </c>
      <c r="AA51" s="4">
        <f>+'202501anual'!K85</f>
        <v>32353631.851754691</v>
      </c>
      <c r="AB51" s="4">
        <v>20936727</v>
      </c>
      <c r="AC51" s="4">
        <f t="shared" ref="AC51:AC92" si="68">+AA51-AB51</f>
        <v>11416904.851754691</v>
      </c>
      <c r="AD51" s="4">
        <f>+'202501anual'!L85</f>
        <v>32353631.851754691</v>
      </c>
      <c r="AE51" s="4">
        <v>24227524</v>
      </c>
      <c r="AF51" s="4">
        <f t="shared" si="44"/>
        <v>8126107.8517546915</v>
      </c>
      <c r="AG51" s="4">
        <f>+'202501anual'!M85</f>
        <v>32353631.851754691</v>
      </c>
      <c r="AH51" s="4"/>
      <c r="AI51" s="4">
        <f t="shared" si="45"/>
        <v>32353631.851754691</v>
      </c>
      <c r="AJ51" s="4">
        <f>+'202501anual'!N85</f>
        <v>32353631.851754691</v>
      </c>
      <c r="AK51" s="4">
        <f>75210429.03-31911875</f>
        <v>43298554.030000001</v>
      </c>
      <c r="AL51" s="4">
        <f t="shared" si="46"/>
        <v>-10944922.17824531</v>
      </c>
      <c r="AM51" s="4">
        <f t="shared" ref="AM51:AM84" si="69">+C51+F51+I51+L51+O51+R51+U51+X51+AA51+AD51+AG51+AJ51</f>
        <v>388243582.22105622</v>
      </c>
      <c r="AN51" s="4">
        <f t="shared" ref="AN51:AN84" si="70">+D51+G51+J51+M51+P51+S51+V51+Y51+AB51+AE51+AH51+AK51</f>
        <v>280320364.42360997</v>
      </c>
      <c r="AO51" s="4">
        <f t="shared" ref="AO51:AO84" si="71">+AM51-AN51</f>
        <v>107923217.79744625</v>
      </c>
      <c r="AP51" s="43">
        <f t="shared" ref="AP51:AP90" si="72">+AO51/AM51*100</f>
        <v>27.797811152483508</v>
      </c>
      <c r="AQ51" s="34"/>
      <c r="AR51" s="38"/>
      <c r="AS51" s="2"/>
      <c r="AU51" s="2"/>
      <c r="AY51" s="2"/>
    </row>
    <row r="52" spans="1:51" x14ac:dyDescent="0.25">
      <c r="A52" s="5" t="s">
        <v>203</v>
      </c>
      <c r="B52" s="4">
        <v>7900000</v>
      </c>
      <c r="C52" s="4">
        <v>600000</v>
      </c>
      <c r="D52" s="4">
        <v>0</v>
      </c>
      <c r="E52" s="4">
        <f t="shared" si="36"/>
        <v>600000</v>
      </c>
      <c r="F52" s="4">
        <v>600000</v>
      </c>
      <c r="G52" s="4">
        <v>0</v>
      </c>
      <c r="H52" s="4">
        <f t="shared" si="37"/>
        <v>600000</v>
      </c>
      <c r="I52" s="4">
        <v>600000</v>
      </c>
      <c r="J52" s="4">
        <v>0</v>
      </c>
      <c r="K52" s="4">
        <f t="shared" si="62"/>
        <v>600000</v>
      </c>
      <c r="L52" s="4">
        <f>+'202501anual'!F89</f>
        <v>600000</v>
      </c>
      <c r="M52" s="78"/>
      <c r="N52" s="4">
        <f t="shared" si="63"/>
        <v>600000</v>
      </c>
      <c r="O52" s="4">
        <f>+'202501anual'!G89</f>
        <v>600000</v>
      </c>
      <c r="P52" s="4"/>
      <c r="Q52" s="4">
        <f t="shared" si="64"/>
        <v>600000</v>
      </c>
      <c r="R52" s="4">
        <f>+'202501anual'!H89+'202501anual'!H90</f>
        <v>1050000</v>
      </c>
      <c r="S52" s="4">
        <v>0</v>
      </c>
      <c r="T52" s="4">
        <f>+R52-S52</f>
        <v>1050000</v>
      </c>
      <c r="U52" s="4">
        <v>0</v>
      </c>
      <c r="V52" s="4">
        <v>0</v>
      </c>
      <c r="W52" s="4">
        <f t="shared" si="65"/>
        <v>0</v>
      </c>
      <c r="X52" s="145">
        <f>+'202501anual'!J89</f>
        <v>600000</v>
      </c>
      <c r="Y52" s="4">
        <v>107990</v>
      </c>
      <c r="Z52" s="4">
        <f t="shared" si="67"/>
        <v>492010</v>
      </c>
      <c r="AA52" s="78">
        <f>+'202501anual'!K89</f>
        <v>600000</v>
      </c>
      <c r="AB52" s="4"/>
      <c r="AC52" s="4">
        <f t="shared" si="68"/>
        <v>600000</v>
      </c>
      <c r="AD52" s="78">
        <f>+'202501anual'!L89</f>
        <v>600000</v>
      </c>
      <c r="AE52" s="4"/>
      <c r="AF52" s="4">
        <f t="shared" si="44"/>
        <v>600000</v>
      </c>
      <c r="AG52" s="78">
        <f>+'202501anual'!M89</f>
        <v>600000</v>
      </c>
      <c r="AH52" s="4"/>
      <c r="AI52" s="4">
        <f t="shared" si="45"/>
        <v>600000</v>
      </c>
      <c r="AJ52" s="78">
        <f>+'202501anual'!N89</f>
        <v>600000</v>
      </c>
      <c r="AK52" s="78"/>
      <c r="AL52" s="4">
        <f t="shared" si="46"/>
        <v>600000</v>
      </c>
      <c r="AM52" s="4">
        <f t="shared" si="69"/>
        <v>7050000</v>
      </c>
      <c r="AN52" s="4">
        <f t="shared" si="70"/>
        <v>107990</v>
      </c>
      <c r="AO52" s="4">
        <f t="shared" si="71"/>
        <v>6942010</v>
      </c>
      <c r="AP52" s="43">
        <f t="shared" si="72"/>
        <v>98.468226950354605</v>
      </c>
      <c r="AQ52" s="34"/>
      <c r="AR52" s="38"/>
      <c r="AS52" s="2"/>
      <c r="AU52" s="2"/>
      <c r="AY52" s="2"/>
    </row>
    <row r="53" spans="1:51" x14ac:dyDescent="0.25">
      <c r="A53" s="5" t="s">
        <v>19</v>
      </c>
      <c r="B53" s="4">
        <v>145560000</v>
      </c>
      <c r="C53" s="4">
        <v>12130000</v>
      </c>
      <c r="D53" s="4">
        <v>7299344</v>
      </c>
      <c r="E53" s="4">
        <f t="shared" si="36"/>
        <v>4830656</v>
      </c>
      <c r="F53" s="4">
        <v>12130000</v>
      </c>
      <c r="G53" s="4">
        <v>24360296</v>
      </c>
      <c r="H53" s="4">
        <f t="shared" si="37"/>
        <v>-12230296</v>
      </c>
      <c r="I53" s="4">
        <v>12130000</v>
      </c>
      <c r="J53" s="4">
        <v>12022648</v>
      </c>
      <c r="K53" s="4">
        <f t="shared" si="62"/>
        <v>107352</v>
      </c>
      <c r="L53" s="4">
        <f>+'202501anual'!F91</f>
        <v>12130000</v>
      </c>
      <c r="M53" s="78">
        <v>11602648</v>
      </c>
      <c r="N53" s="4">
        <f t="shared" si="63"/>
        <v>527352</v>
      </c>
      <c r="O53" s="4">
        <f>+'202501anual'!G91</f>
        <v>12130000</v>
      </c>
      <c r="P53" s="4">
        <v>12022648</v>
      </c>
      <c r="Q53" s="4">
        <f t="shared" si="64"/>
        <v>107352</v>
      </c>
      <c r="R53" s="4">
        <f>+'202501anual'!H91</f>
        <v>12130000</v>
      </c>
      <c r="S53" s="4">
        <v>14990511</v>
      </c>
      <c r="T53" s="4">
        <f t="shared" ref="T53:T83" si="73">+R53-S53</f>
        <v>-2860511</v>
      </c>
      <c r="U53" s="4">
        <f>+'202501anual'!I91</f>
        <v>12130000</v>
      </c>
      <c r="V53" s="4">
        <v>11917648</v>
      </c>
      <c r="W53" s="4">
        <f t="shared" si="65"/>
        <v>212352</v>
      </c>
      <c r="X53" s="145">
        <f t="shared" si="66"/>
        <v>12130000</v>
      </c>
      <c r="Y53" s="4">
        <v>11497648</v>
      </c>
      <c r="Z53" s="4">
        <f t="shared" si="67"/>
        <v>632352</v>
      </c>
      <c r="AA53" s="4">
        <f>+'202501anual'!K91</f>
        <v>12130000</v>
      </c>
      <c r="AB53" s="4">
        <v>12022648</v>
      </c>
      <c r="AC53" s="4">
        <f t="shared" si="68"/>
        <v>107352</v>
      </c>
      <c r="AD53" s="4">
        <f>+'202501anual'!L91</f>
        <v>12130000</v>
      </c>
      <c r="AE53" s="4">
        <v>12127648</v>
      </c>
      <c r="AF53" s="4">
        <f t="shared" si="44"/>
        <v>2352</v>
      </c>
      <c r="AG53" s="4">
        <f>+'202501anual'!M91</f>
        <v>12130000</v>
      </c>
      <c r="AH53" s="4"/>
      <c r="AI53" s="4">
        <f t="shared" si="45"/>
        <v>12130000</v>
      </c>
      <c r="AJ53" s="4">
        <f>+'202501anual'!N91</f>
        <v>12130000</v>
      </c>
      <c r="AK53" s="4">
        <v>7299344</v>
      </c>
      <c r="AL53" s="4">
        <f t="shared" si="46"/>
        <v>4830656</v>
      </c>
      <c r="AM53" s="4">
        <f t="shared" si="69"/>
        <v>145560000</v>
      </c>
      <c r="AN53" s="4">
        <f t="shared" si="70"/>
        <v>137163031</v>
      </c>
      <c r="AO53" s="4">
        <f t="shared" si="71"/>
        <v>8396969</v>
      </c>
      <c r="AP53" s="43">
        <f t="shared" si="72"/>
        <v>5.7687338554547951</v>
      </c>
      <c r="AQ53" s="34"/>
      <c r="AR53" s="36"/>
      <c r="AS53" s="2"/>
      <c r="AY53" s="2"/>
    </row>
    <row r="54" spans="1:51" x14ac:dyDescent="0.25">
      <c r="A54" s="71" t="s">
        <v>89</v>
      </c>
      <c r="B54" s="4">
        <v>47137000</v>
      </c>
      <c r="C54" s="4">
        <v>0</v>
      </c>
      <c r="D54" s="4">
        <v>0</v>
      </c>
      <c r="E54" s="4">
        <f t="shared" si="36"/>
        <v>0</v>
      </c>
      <c r="F54" s="4"/>
      <c r="G54" s="4"/>
      <c r="H54" s="4">
        <f t="shared" si="37"/>
        <v>0</v>
      </c>
      <c r="I54" s="4">
        <v>3000000</v>
      </c>
      <c r="J54" s="4">
        <v>0</v>
      </c>
      <c r="K54" s="4">
        <f t="shared" si="62"/>
        <v>3000000</v>
      </c>
      <c r="L54" s="4">
        <f>+'202501anual'!F92</f>
        <v>3000000</v>
      </c>
      <c r="M54" s="78"/>
      <c r="N54" s="4">
        <f t="shared" si="63"/>
        <v>3000000</v>
      </c>
      <c r="O54" s="4">
        <f>+'202501anual'!G92</f>
        <v>6000000</v>
      </c>
      <c r="P54" s="4"/>
      <c r="Q54" s="4">
        <f t="shared" si="64"/>
        <v>6000000</v>
      </c>
      <c r="R54" s="4">
        <f>+'202501anual'!H92</f>
        <v>3000000</v>
      </c>
      <c r="S54" s="4">
        <v>0</v>
      </c>
      <c r="T54" s="4">
        <f t="shared" si="73"/>
        <v>3000000</v>
      </c>
      <c r="U54" s="4">
        <f>+'202501anual'!I92</f>
        <v>3000000</v>
      </c>
      <c r="V54" s="4">
        <v>0</v>
      </c>
      <c r="W54" s="4">
        <f t="shared" si="65"/>
        <v>3000000</v>
      </c>
      <c r="X54" s="145">
        <f t="shared" si="66"/>
        <v>3000000</v>
      </c>
      <c r="Y54" s="4">
        <v>3606000</v>
      </c>
      <c r="Z54" s="4">
        <f t="shared" si="67"/>
        <v>-606000</v>
      </c>
      <c r="AA54" s="4">
        <f>+'202501anual'!K92</f>
        <v>3000000</v>
      </c>
      <c r="AB54" s="4">
        <v>3380000</v>
      </c>
      <c r="AC54" s="4">
        <f t="shared" si="68"/>
        <v>-380000</v>
      </c>
      <c r="AD54" s="4">
        <f>+'202501anual'!L92</f>
        <v>3000000</v>
      </c>
      <c r="AE54" s="4"/>
      <c r="AF54" s="4">
        <f t="shared" si="44"/>
        <v>3000000</v>
      </c>
      <c r="AG54" s="4">
        <f>+'202501anual'!M92</f>
        <v>5400000</v>
      </c>
      <c r="AH54" s="4">
        <v>8400000</v>
      </c>
      <c r="AI54" s="4">
        <f t="shared" si="45"/>
        <v>-3000000</v>
      </c>
      <c r="AJ54" s="4">
        <f>+'202501anual'!N92</f>
        <v>3000000</v>
      </c>
      <c r="AK54" s="4"/>
      <c r="AL54" s="4">
        <f t="shared" si="46"/>
        <v>3000000</v>
      </c>
      <c r="AM54" s="4">
        <f t="shared" si="69"/>
        <v>35400000</v>
      </c>
      <c r="AN54" s="4">
        <f t="shared" si="70"/>
        <v>15386000</v>
      </c>
      <c r="AO54" s="4">
        <f t="shared" si="71"/>
        <v>20014000</v>
      </c>
      <c r="AP54" s="43">
        <f t="shared" si="72"/>
        <v>56.536723163841806</v>
      </c>
      <c r="AQ54" s="34"/>
      <c r="AR54" s="38"/>
      <c r="AS54" s="2"/>
      <c r="AY54" s="2"/>
    </row>
    <row r="55" spans="1:51" x14ac:dyDescent="0.25">
      <c r="A55" s="21" t="s">
        <v>72</v>
      </c>
      <c r="B55" s="4">
        <v>55740000</v>
      </c>
      <c r="C55" s="4">
        <v>4645000</v>
      </c>
      <c r="D55" s="4">
        <v>3782056</v>
      </c>
      <c r="E55" s="4">
        <f t="shared" si="36"/>
        <v>862944</v>
      </c>
      <c r="F55" s="4">
        <v>4645000</v>
      </c>
      <c r="G55" s="4">
        <v>2505395</v>
      </c>
      <c r="H55" s="4">
        <f t="shared" si="37"/>
        <v>2139605</v>
      </c>
      <c r="I55" s="4">
        <v>4645000</v>
      </c>
      <c r="J55" s="4">
        <v>1836189</v>
      </c>
      <c r="K55" s="4">
        <f t="shared" si="62"/>
        <v>2808811</v>
      </c>
      <c r="L55" s="4">
        <f>+'202501anual'!F93</f>
        <v>4645000</v>
      </c>
      <c r="M55" s="78">
        <v>4624883</v>
      </c>
      <c r="N55" s="4">
        <f t="shared" si="63"/>
        <v>20117</v>
      </c>
      <c r="O55" s="4">
        <f>+'202501anual'!G93</f>
        <v>4645000</v>
      </c>
      <c r="P55" s="4">
        <v>3773835</v>
      </c>
      <c r="Q55" s="4">
        <f t="shared" si="64"/>
        <v>871165</v>
      </c>
      <c r="R55" s="4">
        <f>+'202501anual'!H93</f>
        <v>4645000</v>
      </c>
      <c r="S55" s="4">
        <v>3567709</v>
      </c>
      <c r="T55" s="4">
        <f t="shared" si="73"/>
        <v>1077291</v>
      </c>
      <c r="U55" s="4">
        <f>+'202501anual'!I93</f>
        <v>4645000</v>
      </c>
      <c r="V55" s="4">
        <v>4123453</v>
      </c>
      <c r="W55" s="4">
        <f t="shared" si="65"/>
        <v>521547</v>
      </c>
      <c r="X55" s="145">
        <f t="shared" si="66"/>
        <v>4645000</v>
      </c>
      <c r="Y55" s="4">
        <v>3857960</v>
      </c>
      <c r="Z55" s="4">
        <f t="shared" si="67"/>
        <v>787040</v>
      </c>
      <c r="AA55" s="4">
        <f>+'202501anual'!K93</f>
        <v>4645000</v>
      </c>
      <c r="AB55" s="4">
        <v>1940329</v>
      </c>
      <c r="AC55" s="4">
        <f t="shared" si="68"/>
        <v>2704671</v>
      </c>
      <c r="AD55" s="4">
        <f>+'202501anual'!L93</f>
        <v>4645000</v>
      </c>
      <c r="AE55" s="4">
        <v>4575746</v>
      </c>
      <c r="AF55" s="4">
        <f t="shared" si="44"/>
        <v>69254</v>
      </c>
      <c r="AG55" s="4">
        <f>+'202501anual'!M93</f>
        <v>4645000</v>
      </c>
      <c r="AH55" s="4">
        <v>2826780</v>
      </c>
      <c r="AI55" s="4">
        <f t="shared" si="45"/>
        <v>1818220</v>
      </c>
      <c r="AJ55" s="4">
        <f>+'202501anual'!N93</f>
        <v>4645000</v>
      </c>
      <c r="AK55" s="4">
        <v>3782056</v>
      </c>
      <c r="AL55" s="4">
        <f t="shared" si="46"/>
        <v>862944</v>
      </c>
      <c r="AM55" s="4">
        <f t="shared" si="69"/>
        <v>55740000</v>
      </c>
      <c r="AN55" s="4">
        <f t="shared" si="70"/>
        <v>41196391</v>
      </c>
      <c r="AO55" s="4">
        <f t="shared" si="71"/>
        <v>14543609</v>
      </c>
      <c r="AP55" s="43">
        <f t="shared" si="72"/>
        <v>26.091871187656977</v>
      </c>
      <c r="AQ55" s="34"/>
      <c r="AR55" s="38"/>
      <c r="AS55" s="2"/>
      <c r="AY55" s="2"/>
    </row>
    <row r="56" spans="1:51" ht="36.75" x14ac:dyDescent="0.25">
      <c r="A56" s="106" t="s">
        <v>65</v>
      </c>
      <c r="B56" s="4">
        <v>127600000</v>
      </c>
      <c r="C56" s="4">
        <v>0</v>
      </c>
      <c r="D56" s="4">
        <v>0</v>
      </c>
      <c r="E56" s="4">
        <f t="shared" si="36"/>
        <v>0</v>
      </c>
      <c r="F56" s="4"/>
      <c r="G56" s="4">
        <v>0</v>
      </c>
      <c r="H56" s="4">
        <f t="shared" si="37"/>
        <v>0</v>
      </c>
      <c r="I56" s="4"/>
      <c r="J56" s="4"/>
      <c r="K56" s="4">
        <f t="shared" si="62"/>
        <v>0</v>
      </c>
      <c r="L56" s="4">
        <f>+'202501anual'!F94</f>
        <v>52800000</v>
      </c>
      <c r="M56" s="78">
        <v>0</v>
      </c>
      <c r="N56" s="4">
        <f t="shared" si="63"/>
        <v>52800000</v>
      </c>
      <c r="O56" s="4">
        <f>+'202501anual'!G94</f>
        <v>0</v>
      </c>
      <c r="P56" s="4"/>
      <c r="Q56" s="4">
        <f t="shared" si="64"/>
        <v>0</v>
      </c>
      <c r="R56" s="4">
        <f>+'202501anual'!H94</f>
        <v>0</v>
      </c>
      <c r="S56" s="4">
        <v>45815442</v>
      </c>
      <c r="T56" s="4">
        <f t="shared" si="73"/>
        <v>-45815442</v>
      </c>
      <c r="U56" s="4">
        <f>+'202501anual'!I94</f>
        <v>0</v>
      </c>
      <c r="V56" s="4">
        <v>0</v>
      </c>
      <c r="W56" s="4">
        <f t="shared" si="65"/>
        <v>0</v>
      </c>
      <c r="X56" s="145">
        <f>+'202501anual'!J94+'202501anual'!J114-100000</f>
        <v>53650000</v>
      </c>
      <c r="Y56" s="4">
        <v>0</v>
      </c>
      <c r="Z56" s="4">
        <f t="shared" si="67"/>
        <v>53650000</v>
      </c>
      <c r="AA56" s="4">
        <f>+'202501anual'!K94</f>
        <v>0</v>
      </c>
      <c r="AB56" s="4">
        <f>1108599+13788182+616000+29661053+1149733</f>
        <v>46323567</v>
      </c>
      <c r="AC56" s="4">
        <f t="shared" si="68"/>
        <v>-46323567</v>
      </c>
      <c r="AD56" s="4">
        <f>+'202501anual'!L94+5000000</f>
        <v>5000000</v>
      </c>
      <c r="AE56" s="4"/>
      <c r="AF56" s="4">
        <f t="shared" si="44"/>
        <v>5000000</v>
      </c>
      <c r="AG56" s="4">
        <f>+'202501anual'!M94</f>
        <v>22000000</v>
      </c>
      <c r="AH56" s="4"/>
      <c r="AI56" s="4">
        <f t="shared" si="45"/>
        <v>22000000</v>
      </c>
      <c r="AJ56" s="4">
        <f>+'202501anual'!N94</f>
        <v>0</v>
      </c>
      <c r="AK56" s="4"/>
      <c r="AL56" s="4">
        <f t="shared" si="46"/>
        <v>0</v>
      </c>
      <c r="AM56" s="4">
        <f t="shared" si="69"/>
        <v>133450000</v>
      </c>
      <c r="AN56" s="4">
        <f t="shared" si="70"/>
        <v>92139009</v>
      </c>
      <c r="AO56" s="4">
        <f t="shared" si="71"/>
        <v>41310991</v>
      </c>
      <c r="AP56" s="43">
        <f t="shared" si="72"/>
        <v>30.95615661296366</v>
      </c>
      <c r="AQ56" s="34"/>
      <c r="AR56" s="38"/>
      <c r="AS56" s="96"/>
      <c r="AY56" s="2"/>
    </row>
    <row r="57" spans="1:51" x14ac:dyDescent="0.25">
      <c r="A57" s="21" t="s">
        <v>167</v>
      </c>
      <c r="B57" s="4">
        <v>13000000</v>
      </c>
      <c r="C57" s="4">
        <v>0</v>
      </c>
      <c r="D57" s="4">
        <v>0</v>
      </c>
      <c r="E57" s="4">
        <f t="shared" si="36"/>
        <v>0</v>
      </c>
      <c r="F57" s="4"/>
      <c r="G57" s="4"/>
      <c r="H57" s="4">
        <f t="shared" si="37"/>
        <v>0</v>
      </c>
      <c r="I57" s="4">
        <v>1300000</v>
      </c>
      <c r="J57" s="4">
        <v>0</v>
      </c>
      <c r="K57" s="4">
        <f t="shared" si="62"/>
        <v>1300000</v>
      </c>
      <c r="L57" s="4">
        <f>+'202501anual'!F97</f>
        <v>1300000</v>
      </c>
      <c r="M57" s="78"/>
      <c r="N57" s="4">
        <f t="shared" si="63"/>
        <v>1300000</v>
      </c>
      <c r="O57" s="4">
        <f>+'202501anual'!G97</f>
        <v>1300000</v>
      </c>
      <c r="P57" s="4"/>
      <c r="Q57" s="4">
        <f t="shared" si="64"/>
        <v>1300000</v>
      </c>
      <c r="R57" s="4">
        <f>+'202501anual'!H97</f>
        <v>1300000</v>
      </c>
      <c r="S57" s="4">
        <v>0</v>
      </c>
      <c r="T57" s="4">
        <f t="shared" si="73"/>
        <v>1300000</v>
      </c>
      <c r="U57" s="4">
        <v>0</v>
      </c>
      <c r="V57" s="4">
        <f>10324066+362000</f>
        <v>10686066</v>
      </c>
      <c r="W57" s="4">
        <f t="shared" si="65"/>
        <v>-10686066</v>
      </c>
      <c r="X57" s="145">
        <f>+'202501anual'!J97</f>
        <v>1300000</v>
      </c>
      <c r="Y57" s="4">
        <v>2663000</v>
      </c>
      <c r="Z57" s="4">
        <f t="shared" si="67"/>
        <v>-1363000</v>
      </c>
      <c r="AA57" s="78">
        <f>+'202501anual'!K97</f>
        <v>1300000</v>
      </c>
      <c r="AB57" s="4"/>
      <c r="AC57" s="4">
        <f t="shared" si="68"/>
        <v>1300000</v>
      </c>
      <c r="AD57" s="78">
        <f>+'202501anual'!L97</f>
        <v>1300000</v>
      </c>
      <c r="AE57" s="4">
        <v>684000</v>
      </c>
      <c r="AF57" s="4">
        <f t="shared" si="44"/>
        <v>616000</v>
      </c>
      <c r="AG57" s="78">
        <f>+'202501anual'!M97</f>
        <v>1300000</v>
      </c>
      <c r="AH57" s="4"/>
      <c r="AI57" s="4">
        <f t="shared" si="45"/>
        <v>1300000</v>
      </c>
      <c r="AJ57" s="78">
        <f>+'202501anual'!N97</f>
        <v>1300000</v>
      </c>
      <c r="AK57" s="78"/>
      <c r="AL57" s="4">
        <f t="shared" si="46"/>
        <v>1300000</v>
      </c>
      <c r="AM57" s="4">
        <f t="shared" si="69"/>
        <v>11700000</v>
      </c>
      <c r="AN57" s="4">
        <f t="shared" si="70"/>
        <v>14033066</v>
      </c>
      <c r="AO57" s="4">
        <f t="shared" si="71"/>
        <v>-2333066</v>
      </c>
      <c r="AP57" s="43">
        <f t="shared" si="72"/>
        <v>-19.940735042735042</v>
      </c>
      <c r="AQ57" s="34"/>
      <c r="AR57" s="38"/>
      <c r="AS57" s="2"/>
      <c r="AY57" s="2"/>
    </row>
    <row r="58" spans="1:51" x14ac:dyDescent="0.25">
      <c r="A58" s="21" t="s">
        <v>85</v>
      </c>
      <c r="B58" s="4">
        <v>8000000</v>
      </c>
      <c r="C58" s="4">
        <v>0</v>
      </c>
      <c r="D58" s="4">
        <v>0</v>
      </c>
      <c r="E58" s="4">
        <f t="shared" si="36"/>
        <v>0</v>
      </c>
      <c r="F58" s="4">
        <v>580000</v>
      </c>
      <c r="G58" s="4">
        <v>980239</v>
      </c>
      <c r="H58" s="4">
        <f t="shared" si="37"/>
        <v>-400239</v>
      </c>
      <c r="I58" s="4">
        <v>580000</v>
      </c>
      <c r="J58" s="4">
        <v>4678770</v>
      </c>
      <c r="K58" s="4">
        <f t="shared" si="62"/>
        <v>-4098770</v>
      </c>
      <c r="L58" s="4">
        <f>+'202501anual'!F98</f>
        <v>580000</v>
      </c>
      <c r="M58" s="78">
        <v>895299</v>
      </c>
      <c r="N58" s="4">
        <f t="shared" si="63"/>
        <v>-315299</v>
      </c>
      <c r="O58" s="4">
        <f>+'202501anual'!G98</f>
        <v>580000</v>
      </c>
      <c r="P58" s="4">
        <v>971446</v>
      </c>
      <c r="Q58" s="4">
        <f t="shared" si="64"/>
        <v>-391446</v>
      </c>
      <c r="R58" s="4">
        <f>+'202501anual'!H98</f>
        <v>580000</v>
      </c>
      <c r="S58" s="4">
        <v>1081203</v>
      </c>
      <c r="T58" s="4">
        <f t="shared" si="73"/>
        <v>-501203</v>
      </c>
      <c r="U58" s="4">
        <f>+'202501anual'!I98</f>
        <v>580000</v>
      </c>
      <c r="V58" s="4">
        <v>1115321</v>
      </c>
      <c r="W58" s="4">
        <f t="shared" si="65"/>
        <v>-535321</v>
      </c>
      <c r="X58" s="145">
        <f t="shared" si="66"/>
        <v>580000</v>
      </c>
      <c r="Y58" s="4">
        <v>1050665</v>
      </c>
      <c r="Z58" s="4">
        <f t="shared" si="67"/>
        <v>-470665</v>
      </c>
      <c r="AA58" s="4">
        <f>+'202501anual'!K98</f>
        <v>580000</v>
      </c>
      <c r="AB58" s="4">
        <v>1071840</v>
      </c>
      <c r="AC58" s="4">
        <f t="shared" si="68"/>
        <v>-491840</v>
      </c>
      <c r="AD58" s="4">
        <f>+'202501anual'!L98</f>
        <v>580000</v>
      </c>
      <c r="AE58" s="4">
        <v>1086973</v>
      </c>
      <c r="AF58" s="4">
        <f t="shared" si="44"/>
        <v>-506973</v>
      </c>
      <c r="AG58" s="4">
        <f>+'202501anual'!M98</f>
        <v>580000</v>
      </c>
      <c r="AH58" s="4">
        <v>875150</v>
      </c>
      <c r="AI58" s="4">
        <f t="shared" si="45"/>
        <v>-295150</v>
      </c>
      <c r="AJ58" s="4">
        <f>+'202501anual'!N98</f>
        <v>580000</v>
      </c>
      <c r="AK58" s="4"/>
      <c r="AL58" s="4">
        <f t="shared" si="46"/>
        <v>580000</v>
      </c>
      <c r="AM58" s="4">
        <f t="shared" si="69"/>
        <v>6380000</v>
      </c>
      <c r="AN58" s="4">
        <f t="shared" si="70"/>
        <v>13806906</v>
      </c>
      <c r="AO58" s="4">
        <f t="shared" si="71"/>
        <v>-7426906</v>
      </c>
      <c r="AP58" s="43">
        <f t="shared" si="72"/>
        <v>-116.40918495297805</v>
      </c>
      <c r="AQ58" s="34"/>
      <c r="AR58" s="36"/>
      <c r="AS58" s="2"/>
      <c r="AY58" s="2"/>
    </row>
    <row r="59" spans="1:51" x14ac:dyDescent="0.25">
      <c r="A59" s="21" t="s">
        <v>23</v>
      </c>
      <c r="B59" s="4">
        <v>109000000</v>
      </c>
      <c r="C59" s="4">
        <v>0</v>
      </c>
      <c r="D59" s="4">
        <v>0</v>
      </c>
      <c r="E59" s="4">
        <f t="shared" si="36"/>
        <v>0</v>
      </c>
      <c r="F59" s="4"/>
      <c r="G59" s="4">
        <v>0</v>
      </c>
      <c r="H59" s="4">
        <f t="shared" si="37"/>
        <v>0</v>
      </c>
      <c r="I59" s="4">
        <v>10900000</v>
      </c>
      <c r="J59" s="4">
        <v>25142040</v>
      </c>
      <c r="K59" s="4">
        <f t="shared" si="62"/>
        <v>-14242040</v>
      </c>
      <c r="L59" s="4">
        <f>+'202501anual'!F99</f>
        <v>10900000</v>
      </c>
      <c r="M59" s="78">
        <v>45549040</v>
      </c>
      <c r="N59" s="4">
        <f t="shared" si="63"/>
        <v>-34649040</v>
      </c>
      <c r="O59" s="4">
        <f>+'202501anual'!G99</f>
        <v>10900000</v>
      </c>
      <c r="P59" s="4">
        <v>31454624</v>
      </c>
      <c r="Q59" s="4">
        <f t="shared" si="64"/>
        <v>-20554624</v>
      </c>
      <c r="R59" s="4">
        <f>+'202501anual'!H99</f>
        <v>10900000</v>
      </c>
      <c r="S59" s="4">
        <v>0</v>
      </c>
      <c r="T59" s="4">
        <f t="shared" si="73"/>
        <v>10900000</v>
      </c>
      <c r="U59" s="4">
        <v>0</v>
      </c>
      <c r="V59" s="4">
        <v>0</v>
      </c>
      <c r="W59" s="4">
        <f t="shared" si="65"/>
        <v>0</v>
      </c>
      <c r="X59" s="145">
        <v>0</v>
      </c>
      <c r="Y59" s="4">
        <v>3817840</v>
      </c>
      <c r="Z59" s="4">
        <f t="shared" si="67"/>
        <v>-3817840</v>
      </c>
      <c r="AA59" s="4">
        <f>+'202501anual'!K99</f>
        <v>10900000</v>
      </c>
      <c r="AB59" s="4">
        <v>40762120</v>
      </c>
      <c r="AC59" s="4">
        <f t="shared" si="68"/>
        <v>-29862120</v>
      </c>
      <c r="AD59" s="4">
        <f>+'202501anual'!L99</f>
        <v>10900000</v>
      </c>
      <c r="AE59" s="4"/>
      <c r="AF59" s="4">
        <f t="shared" si="44"/>
        <v>10900000</v>
      </c>
      <c r="AG59" s="4">
        <f>+'202501anual'!M99</f>
        <v>10900000</v>
      </c>
      <c r="AH59" s="4"/>
      <c r="AI59" s="4">
        <f t="shared" si="45"/>
        <v>10900000</v>
      </c>
      <c r="AJ59" s="4">
        <f>+'202501anual'!N99</f>
        <v>10900000</v>
      </c>
      <c r="AK59" s="4"/>
      <c r="AL59" s="4">
        <f t="shared" si="46"/>
        <v>10900000</v>
      </c>
      <c r="AM59" s="4">
        <f t="shared" si="69"/>
        <v>87200000</v>
      </c>
      <c r="AN59" s="4">
        <f t="shared" si="70"/>
        <v>146725664</v>
      </c>
      <c r="AO59" s="4">
        <f t="shared" si="71"/>
        <v>-59525664</v>
      </c>
      <c r="AP59" s="43">
        <f t="shared" si="72"/>
        <v>-68.263376146788985</v>
      </c>
      <c r="AQ59" s="34"/>
      <c r="AR59" s="36"/>
      <c r="AS59" s="96"/>
      <c r="AY59" s="2"/>
    </row>
    <row r="60" spans="1:51" ht="24.75" x14ac:dyDescent="0.25">
      <c r="A60" s="72" t="s">
        <v>166</v>
      </c>
      <c r="B60" s="4">
        <v>213000</v>
      </c>
      <c r="C60" s="4">
        <v>0</v>
      </c>
      <c r="D60" s="4">
        <v>0</v>
      </c>
      <c r="E60" s="4">
        <f t="shared" si="36"/>
        <v>0</v>
      </c>
      <c r="F60" s="4"/>
      <c r="G60" s="4">
        <v>0</v>
      </c>
      <c r="H60" s="4">
        <f t="shared" si="37"/>
        <v>0</v>
      </c>
      <c r="I60" s="4"/>
      <c r="J60" s="4"/>
      <c r="K60" s="4">
        <f t="shared" si="62"/>
        <v>0</v>
      </c>
      <c r="L60" s="4"/>
      <c r="M60" s="78"/>
      <c r="N60" s="4">
        <f t="shared" si="63"/>
        <v>0</v>
      </c>
      <c r="O60" s="4">
        <f>+'202501anual'!G100</f>
        <v>800000</v>
      </c>
      <c r="P60" s="4"/>
      <c r="Q60" s="4">
        <f t="shared" si="64"/>
        <v>800000</v>
      </c>
      <c r="R60" s="4">
        <f>+'202501anual'!H100</f>
        <v>3200000</v>
      </c>
      <c r="S60" s="4">
        <v>0</v>
      </c>
      <c r="T60" s="4">
        <f t="shared" si="73"/>
        <v>3200000</v>
      </c>
      <c r="U60" s="4">
        <f>+'202501anual'!I100</f>
        <v>3000000</v>
      </c>
      <c r="V60" s="4">
        <v>0</v>
      </c>
      <c r="W60" s="4">
        <f t="shared" si="65"/>
        <v>3000000</v>
      </c>
      <c r="X60" s="78">
        <v>0</v>
      </c>
      <c r="Y60" s="4">
        <v>0</v>
      </c>
      <c r="Z60" s="4">
        <f t="shared" si="67"/>
        <v>0</v>
      </c>
      <c r="AA60" s="4">
        <f>+'202501anual'!K100</f>
        <v>3000000</v>
      </c>
      <c r="AB60" s="4"/>
      <c r="AC60" s="4">
        <f t="shared" si="68"/>
        <v>3000000</v>
      </c>
      <c r="AD60" s="4">
        <f>+'202501anual'!L100+3000000</f>
        <v>3000000</v>
      </c>
      <c r="AE60" s="4"/>
      <c r="AF60" s="4">
        <f t="shared" si="44"/>
        <v>3000000</v>
      </c>
      <c r="AG60" s="4">
        <f>+'202501anual'!M100</f>
        <v>0</v>
      </c>
      <c r="AH60" s="4">
        <v>0</v>
      </c>
      <c r="AI60" s="4">
        <f t="shared" si="45"/>
        <v>0</v>
      </c>
      <c r="AJ60" s="4">
        <f>+'202501anual'!N100</f>
        <v>0</v>
      </c>
      <c r="AK60" s="4">
        <v>0</v>
      </c>
      <c r="AL60" s="4">
        <f t="shared" si="46"/>
        <v>0</v>
      </c>
      <c r="AM60" s="4">
        <f t="shared" si="69"/>
        <v>13000000</v>
      </c>
      <c r="AN60" s="4">
        <f t="shared" si="70"/>
        <v>0</v>
      </c>
      <c r="AO60" s="4">
        <f t="shared" si="71"/>
        <v>13000000</v>
      </c>
      <c r="AP60" s="43">
        <f t="shared" si="72"/>
        <v>100</v>
      </c>
      <c r="AQ60" s="34"/>
      <c r="AR60" s="38"/>
      <c r="AS60" s="2"/>
      <c r="AY60" s="2"/>
    </row>
    <row r="61" spans="1:51" x14ac:dyDescent="0.25">
      <c r="A61" s="21" t="s">
        <v>37</v>
      </c>
      <c r="B61" s="4">
        <v>90600000</v>
      </c>
      <c r="C61" s="4">
        <v>7550000</v>
      </c>
      <c r="D61" s="4">
        <v>6231643</v>
      </c>
      <c r="E61" s="4">
        <f t="shared" si="36"/>
        <v>1318357</v>
      </c>
      <c r="F61" s="4">
        <v>7550000</v>
      </c>
      <c r="G61" s="4">
        <v>7785317</v>
      </c>
      <c r="H61" s="4">
        <f t="shared" si="37"/>
        <v>-235317</v>
      </c>
      <c r="I61" s="4">
        <v>7550000</v>
      </c>
      <c r="J61" s="4">
        <v>7545000</v>
      </c>
      <c r="K61" s="4">
        <f t="shared" si="62"/>
        <v>5000</v>
      </c>
      <c r="L61" s="4">
        <f>+'202501anual'!F101</f>
        <v>7550000</v>
      </c>
      <c r="M61" s="78">
        <v>7545000</v>
      </c>
      <c r="N61" s="4">
        <f t="shared" si="63"/>
        <v>5000</v>
      </c>
      <c r="O61" s="4">
        <f>+'202501anual'!G101</f>
        <v>7550000</v>
      </c>
      <c r="P61" s="4">
        <v>7545000</v>
      </c>
      <c r="Q61" s="4">
        <f t="shared" si="64"/>
        <v>5000</v>
      </c>
      <c r="R61" s="4">
        <f>+'202501anual'!H101</f>
        <v>7550000</v>
      </c>
      <c r="S61" s="4">
        <v>11707400</v>
      </c>
      <c r="T61" s="4">
        <f t="shared" si="73"/>
        <v>-4157400</v>
      </c>
      <c r="U61" s="4">
        <f>+'202501anual'!I101</f>
        <v>7550000</v>
      </c>
      <c r="V61" s="4">
        <v>7545000</v>
      </c>
      <c r="W61" s="4">
        <f t="shared" si="65"/>
        <v>5000</v>
      </c>
      <c r="X61" s="145">
        <f t="shared" si="66"/>
        <v>7550000</v>
      </c>
      <c r="Y61" s="4">
        <v>7545000</v>
      </c>
      <c r="Z61" s="4">
        <f t="shared" si="67"/>
        <v>5000</v>
      </c>
      <c r="AA61" s="4">
        <f>+'202501anual'!K101</f>
        <v>7550000</v>
      </c>
      <c r="AB61" s="4">
        <v>7545000</v>
      </c>
      <c r="AC61" s="4">
        <f t="shared" si="68"/>
        <v>5000</v>
      </c>
      <c r="AD61" s="4">
        <f>+'202501anual'!L101</f>
        <v>7550000</v>
      </c>
      <c r="AE61" s="4">
        <v>7545000</v>
      </c>
      <c r="AF61" s="4">
        <f t="shared" si="44"/>
        <v>5000</v>
      </c>
      <c r="AG61" s="4">
        <f>+'202501anual'!M101</f>
        <v>7550000</v>
      </c>
      <c r="AH61" s="4">
        <v>7545000</v>
      </c>
      <c r="AI61" s="4">
        <f t="shared" si="45"/>
        <v>5000</v>
      </c>
      <c r="AJ61" s="4">
        <f>+'202501anual'!N101</f>
        <v>7550000</v>
      </c>
      <c r="AK61" s="4">
        <v>6231643</v>
      </c>
      <c r="AL61" s="4">
        <f t="shared" si="46"/>
        <v>1318357</v>
      </c>
      <c r="AM61" s="4">
        <f t="shared" si="69"/>
        <v>90600000</v>
      </c>
      <c r="AN61" s="4">
        <f t="shared" si="70"/>
        <v>92316003</v>
      </c>
      <c r="AO61" s="4">
        <f t="shared" si="71"/>
        <v>-1716003</v>
      </c>
      <c r="AP61" s="43">
        <f t="shared" si="72"/>
        <v>-1.8940430463576159</v>
      </c>
      <c r="AQ61" s="34"/>
      <c r="AR61" s="38"/>
      <c r="AS61" s="2"/>
      <c r="AY61" s="2"/>
    </row>
    <row r="62" spans="1:51" x14ac:dyDescent="0.25">
      <c r="A62" s="21" t="s">
        <v>25</v>
      </c>
      <c r="B62" s="4">
        <v>45000000</v>
      </c>
      <c r="C62" s="4">
        <v>4250000</v>
      </c>
      <c r="D62" s="4">
        <v>3284000</v>
      </c>
      <c r="E62" s="4">
        <f t="shared" si="36"/>
        <v>966000</v>
      </c>
      <c r="F62" s="4">
        <v>4250000</v>
      </c>
      <c r="G62" s="4">
        <v>3940800</v>
      </c>
      <c r="H62" s="4">
        <f t="shared" si="37"/>
        <v>309200</v>
      </c>
      <c r="I62" s="4">
        <v>5850000</v>
      </c>
      <c r="J62" s="4">
        <v>3940800</v>
      </c>
      <c r="K62" s="4">
        <f t="shared" si="62"/>
        <v>1909200</v>
      </c>
      <c r="L62" s="4">
        <f>+'202501anual'!F103</f>
        <v>5850000</v>
      </c>
      <c r="M62" s="78">
        <v>3940800</v>
      </c>
      <c r="N62" s="4">
        <f t="shared" si="63"/>
        <v>1909200</v>
      </c>
      <c r="O62" s="4">
        <f>+'202501anual'!G103</f>
        <v>5850000</v>
      </c>
      <c r="P62" s="4">
        <v>3940800</v>
      </c>
      <c r="Q62" s="4">
        <f t="shared" si="64"/>
        <v>1909200</v>
      </c>
      <c r="R62" s="4">
        <f>+'202501anual'!H103</f>
        <v>5850000</v>
      </c>
      <c r="S62" s="4">
        <v>3940800</v>
      </c>
      <c r="T62" s="4">
        <f t="shared" si="73"/>
        <v>1909200</v>
      </c>
      <c r="U62" s="4">
        <f>+'202501anual'!I103</f>
        <v>5850000</v>
      </c>
      <c r="V62" s="4">
        <v>3940800</v>
      </c>
      <c r="W62" s="4">
        <f t="shared" si="65"/>
        <v>1909200</v>
      </c>
      <c r="X62" s="145">
        <f t="shared" si="66"/>
        <v>5850000</v>
      </c>
      <c r="Y62" s="4">
        <v>4832800</v>
      </c>
      <c r="Z62" s="4">
        <f t="shared" si="67"/>
        <v>1017200</v>
      </c>
      <c r="AA62" s="4">
        <f>+'202501anual'!K103</f>
        <v>5850000</v>
      </c>
      <c r="AB62" s="4">
        <v>4320800</v>
      </c>
      <c r="AC62" s="4">
        <f t="shared" si="68"/>
        <v>1529200</v>
      </c>
      <c r="AD62" s="4">
        <f>+'202501anual'!L103</f>
        <v>5850000</v>
      </c>
      <c r="AE62" s="4">
        <v>6446300</v>
      </c>
      <c r="AF62" s="4">
        <f t="shared" si="44"/>
        <v>-596300</v>
      </c>
      <c r="AG62" s="4">
        <f>+'202501anual'!M103</f>
        <v>5850000</v>
      </c>
      <c r="AH62" s="4">
        <v>4230800</v>
      </c>
      <c r="AI62" s="4">
        <f t="shared" si="45"/>
        <v>1619200</v>
      </c>
      <c r="AJ62" s="4">
        <f>+'202501anual'!N103</f>
        <v>5850000</v>
      </c>
      <c r="AK62" s="4">
        <v>3284000</v>
      </c>
      <c r="AL62" s="4">
        <f t="shared" si="46"/>
        <v>2566000</v>
      </c>
      <c r="AM62" s="4">
        <f t="shared" si="69"/>
        <v>67000000</v>
      </c>
      <c r="AN62" s="4">
        <f t="shared" si="70"/>
        <v>50043500</v>
      </c>
      <c r="AO62" s="4">
        <f t="shared" si="71"/>
        <v>16956500</v>
      </c>
      <c r="AP62" s="43">
        <f t="shared" si="72"/>
        <v>25.308208955223883</v>
      </c>
      <c r="AQ62" s="34"/>
      <c r="AR62" s="38"/>
      <c r="AS62" s="2"/>
      <c r="AY62" s="2"/>
    </row>
    <row r="63" spans="1:51" x14ac:dyDescent="0.25">
      <c r="A63" s="5" t="s">
        <v>60</v>
      </c>
      <c r="B63" s="4">
        <v>45470400</v>
      </c>
      <c r="C63" s="4">
        <v>3854000</v>
      </c>
      <c r="D63" s="4">
        <v>3853423</v>
      </c>
      <c r="E63" s="4">
        <f t="shared" si="36"/>
        <v>577</v>
      </c>
      <c r="F63" s="4">
        <v>3987000</v>
      </c>
      <c r="G63" s="4">
        <v>3986300</v>
      </c>
      <c r="H63" s="4">
        <f t="shared" si="37"/>
        <v>700</v>
      </c>
      <c r="I63" s="4">
        <v>3987000</v>
      </c>
      <c r="J63" s="4">
        <v>3986300</v>
      </c>
      <c r="K63" s="4">
        <f t="shared" si="62"/>
        <v>700</v>
      </c>
      <c r="L63" s="4">
        <f>+'202501anual'!F105</f>
        <v>3987000</v>
      </c>
      <c r="M63" s="78">
        <v>4986300</v>
      </c>
      <c r="N63" s="4">
        <f t="shared" si="63"/>
        <v>-999300</v>
      </c>
      <c r="O63" s="4">
        <f>+'202501anual'!G105</f>
        <v>3987000</v>
      </c>
      <c r="P63" s="4">
        <v>2986300</v>
      </c>
      <c r="Q63" s="4">
        <f t="shared" si="64"/>
        <v>1000700</v>
      </c>
      <c r="R63" s="4">
        <f>+'202501anual'!H105</f>
        <v>3987000</v>
      </c>
      <c r="S63" s="4">
        <v>3986300</v>
      </c>
      <c r="T63" s="4">
        <f t="shared" si="73"/>
        <v>700</v>
      </c>
      <c r="U63" s="4">
        <f>+'202501anual'!I105</f>
        <v>3987000</v>
      </c>
      <c r="V63" s="4">
        <v>4986300</v>
      </c>
      <c r="W63" s="4">
        <f t="shared" si="65"/>
        <v>-999300</v>
      </c>
      <c r="X63" s="145">
        <f t="shared" si="66"/>
        <v>3987000</v>
      </c>
      <c r="Y63" s="4">
        <v>3987000</v>
      </c>
      <c r="Z63" s="4">
        <f t="shared" si="67"/>
        <v>0</v>
      </c>
      <c r="AA63" s="4">
        <f>+'202501anual'!K105</f>
        <v>3987000</v>
      </c>
      <c r="AB63" s="4">
        <v>3987000</v>
      </c>
      <c r="AC63" s="4">
        <f t="shared" si="68"/>
        <v>0</v>
      </c>
      <c r="AD63" s="4">
        <f>+'202501anual'!L105</f>
        <v>3987000</v>
      </c>
      <c r="AE63" s="4">
        <v>3986300</v>
      </c>
      <c r="AF63" s="4">
        <f t="shared" si="44"/>
        <v>700</v>
      </c>
      <c r="AG63" s="4">
        <f>+'202501anual'!M105</f>
        <v>3987000</v>
      </c>
      <c r="AH63" s="4"/>
      <c r="AI63" s="4">
        <f t="shared" si="45"/>
        <v>3987000</v>
      </c>
      <c r="AJ63" s="4">
        <f>+'202501anual'!N105</f>
        <v>3987000</v>
      </c>
      <c r="AK63" s="4">
        <v>3987000</v>
      </c>
      <c r="AL63" s="4">
        <f t="shared" si="46"/>
        <v>0</v>
      </c>
      <c r="AM63" s="4">
        <f t="shared" si="69"/>
        <v>47711000</v>
      </c>
      <c r="AN63" s="4">
        <f t="shared" si="70"/>
        <v>44718523</v>
      </c>
      <c r="AO63" s="4">
        <f t="shared" si="71"/>
        <v>2992477</v>
      </c>
      <c r="AP63" s="43">
        <f t="shared" si="72"/>
        <v>6.2720902936429752</v>
      </c>
      <c r="AQ63" s="34"/>
      <c r="AR63" s="36"/>
      <c r="AS63" s="2"/>
      <c r="AY63" s="2"/>
    </row>
    <row r="64" spans="1:51" hidden="1" x14ac:dyDescent="0.25">
      <c r="A64" s="21" t="s">
        <v>73</v>
      </c>
      <c r="B64" s="4">
        <v>0</v>
      </c>
      <c r="C64" s="4">
        <v>0</v>
      </c>
      <c r="D64" s="4">
        <v>0</v>
      </c>
      <c r="E64" s="4">
        <f t="shared" si="36"/>
        <v>0</v>
      </c>
      <c r="F64" s="4"/>
      <c r="G64" s="4"/>
      <c r="H64" s="4">
        <f t="shared" si="37"/>
        <v>0</v>
      </c>
      <c r="I64" s="4"/>
      <c r="J64" s="4"/>
      <c r="K64" s="4">
        <f t="shared" si="62"/>
        <v>0</v>
      </c>
      <c r="L64" s="4"/>
      <c r="M64" s="78"/>
      <c r="N64" s="4">
        <f t="shared" si="63"/>
        <v>0</v>
      </c>
      <c r="O64" s="4"/>
      <c r="P64" s="4"/>
      <c r="Q64" s="4">
        <f t="shared" si="64"/>
        <v>0</v>
      </c>
      <c r="R64" s="4"/>
      <c r="S64" s="4"/>
      <c r="T64" s="4">
        <f t="shared" si="73"/>
        <v>0</v>
      </c>
      <c r="U64" s="4"/>
      <c r="V64" s="4"/>
      <c r="W64" s="4">
        <f t="shared" si="65"/>
        <v>0</v>
      </c>
      <c r="X64" s="78">
        <f t="shared" si="66"/>
        <v>0</v>
      </c>
      <c r="Y64" s="4"/>
      <c r="Z64" s="4">
        <f t="shared" si="67"/>
        <v>0</v>
      </c>
      <c r="AA64" s="4"/>
      <c r="AB64" s="4"/>
      <c r="AC64" s="4">
        <f t="shared" si="68"/>
        <v>0</v>
      </c>
      <c r="AD64" s="4"/>
      <c r="AE64" s="4"/>
      <c r="AF64" s="4">
        <f t="shared" si="44"/>
        <v>0</v>
      </c>
      <c r="AG64" s="4"/>
      <c r="AH64" s="4"/>
      <c r="AI64" s="4">
        <f t="shared" si="45"/>
        <v>0</v>
      </c>
      <c r="AJ64" s="4"/>
      <c r="AK64" s="4"/>
      <c r="AL64" s="4">
        <f t="shared" si="46"/>
        <v>0</v>
      </c>
      <c r="AM64" s="4">
        <f t="shared" si="69"/>
        <v>0</v>
      </c>
      <c r="AN64" s="4">
        <f t="shared" si="70"/>
        <v>0</v>
      </c>
      <c r="AO64" s="4">
        <f t="shared" si="71"/>
        <v>0</v>
      </c>
      <c r="AP64" s="43" t="e">
        <f t="shared" si="72"/>
        <v>#DIV/0!</v>
      </c>
      <c r="AQ64" s="34"/>
      <c r="AR64" s="38"/>
      <c r="AS64" s="2"/>
      <c r="AY64" s="2"/>
    </row>
    <row r="65" spans="1:51" x14ac:dyDescent="0.25">
      <c r="A65" s="21" t="s">
        <v>27</v>
      </c>
      <c r="B65" s="4">
        <v>3270000</v>
      </c>
      <c r="C65" s="4">
        <v>0</v>
      </c>
      <c r="D65" s="4">
        <v>0</v>
      </c>
      <c r="E65" s="4">
        <f t="shared" si="36"/>
        <v>0</v>
      </c>
      <c r="F65" s="4">
        <v>1500000</v>
      </c>
      <c r="G65" s="4">
        <v>1307600</v>
      </c>
      <c r="H65" s="4">
        <f t="shared" si="37"/>
        <v>192400</v>
      </c>
      <c r="I65" s="4">
        <v>0</v>
      </c>
      <c r="J65" s="4">
        <v>0</v>
      </c>
      <c r="K65" s="4">
        <f t="shared" si="62"/>
        <v>0</v>
      </c>
      <c r="L65" s="4"/>
      <c r="M65" s="78"/>
      <c r="N65" s="4">
        <f t="shared" si="63"/>
        <v>0</v>
      </c>
      <c r="O65" s="4">
        <v>0</v>
      </c>
      <c r="P65" s="4">
        <v>955000</v>
      </c>
      <c r="Q65" s="4">
        <f t="shared" si="64"/>
        <v>-955000</v>
      </c>
      <c r="R65" s="4">
        <v>0</v>
      </c>
      <c r="S65" s="4">
        <v>513373</v>
      </c>
      <c r="T65" s="4">
        <f t="shared" si="73"/>
        <v>-513373</v>
      </c>
      <c r="U65" s="4">
        <f>+'202501anual'!I109</f>
        <v>0</v>
      </c>
      <c r="V65" s="4">
        <v>870842</v>
      </c>
      <c r="W65" s="4">
        <f t="shared" si="65"/>
        <v>-870842</v>
      </c>
      <c r="X65" s="78">
        <f t="shared" si="66"/>
        <v>0</v>
      </c>
      <c r="Y65" s="4">
        <v>0</v>
      </c>
      <c r="Z65" s="4">
        <f t="shared" si="67"/>
        <v>0</v>
      </c>
      <c r="AA65" s="4"/>
      <c r="AB65" s="4"/>
      <c r="AC65" s="4">
        <f t="shared" si="68"/>
        <v>0</v>
      </c>
      <c r="AD65" s="4"/>
      <c r="AE65" s="4"/>
      <c r="AF65" s="4">
        <f t="shared" si="44"/>
        <v>0</v>
      </c>
      <c r="AG65" s="4"/>
      <c r="AH65" s="4"/>
      <c r="AI65" s="4">
        <f t="shared" si="45"/>
        <v>0</v>
      </c>
      <c r="AJ65" s="4"/>
      <c r="AK65" s="4">
        <v>0</v>
      </c>
      <c r="AL65" s="4">
        <f t="shared" si="46"/>
        <v>0</v>
      </c>
      <c r="AM65" s="4">
        <f t="shared" si="69"/>
        <v>1500000</v>
      </c>
      <c r="AN65" s="4">
        <f t="shared" si="70"/>
        <v>3646815</v>
      </c>
      <c r="AO65" s="4">
        <f t="shared" si="71"/>
        <v>-2146815</v>
      </c>
      <c r="AP65" s="43">
        <f t="shared" si="72"/>
        <v>-143.12100000000001</v>
      </c>
      <c r="AQ65" s="34"/>
      <c r="AR65" s="36"/>
      <c r="AS65" s="2"/>
      <c r="AY65" s="2"/>
    </row>
    <row r="66" spans="1:51" hidden="1" x14ac:dyDescent="0.25">
      <c r="A66" s="21" t="s">
        <v>74</v>
      </c>
      <c r="B66" s="4">
        <v>0</v>
      </c>
      <c r="C66" s="4">
        <v>0</v>
      </c>
      <c r="D66" s="4">
        <v>0</v>
      </c>
      <c r="E66" s="4">
        <f t="shared" si="36"/>
        <v>0</v>
      </c>
      <c r="F66" s="4"/>
      <c r="G66" s="4"/>
      <c r="H66" s="4">
        <f t="shared" si="37"/>
        <v>0</v>
      </c>
      <c r="I66" s="4"/>
      <c r="J66" s="4"/>
      <c r="K66" s="4">
        <f t="shared" si="62"/>
        <v>0</v>
      </c>
      <c r="L66" s="4">
        <f>+'202501anual'!F110</f>
        <v>0</v>
      </c>
      <c r="M66" s="78"/>
      <c r="N66" s="4">
        <f t="shared" si="63"/>
        <v>0</v>
      </c>
      <c r="O66" s="4">
        <f>+'202501anual'!G110</f>
        <v>0</v>
      </c>
      <c r="P66" s="4"/>
      <c r="Q66" s="4">
        <f t="shared" si="64"/>
        <v>0</v>
      </c>
      <c r="R66" s="4">
        <f>+'202501anual'!H110</f>
        <v>0</v>
      </c>
      <c r="S66" s="4"/>
      <c r="T66" s="4">
        <f t="shared" si="73"/>
        <v>0</v>
      </c>
      <c r="U66" s="4">
        <f>+'202501anual'!K110</f>
        <v>0</v>
      </c>
      <c r="V66" s="4"/>
      <c r="W66" s="4">
        <f t="shared" si="65"/>
        <v>0</v>
      </c>
      <c r="X66" s="78">
        <v>0</v>
      </c>
      <c r="Y66" s="4">
        <v>0</v>
      </c>
      <c r="Z66" s="4">
        <f t="shared" si="67"/>
        <v>0</v>
      </c>
      <c r="AA66" s="4"/>
      <c r="AB66" s="4"/>
      <c r="AC66" s="4">
        <f t="shared" si="68"/>
        <v>0</v>
      </c>
      <c r="AD66" s="4"/>
      <c r="AE66" s="4"/>
      <c r="AF66" s="4">
        <f t="shared" si="44"/>
        <v>0</v>
      </c>
      <c r="AG66" s="4"/>
      <c r="AH66" s="4"/>
      <c r="AI66" s="4">
        <f t="shared" si="45"/>
        <v>0</v>
      </c>
      <c r="AJ66" s="4"/>
      <c r="AK66" s="4">
        <v>0</v>
      </c>
      <c r="AL66" s="4">
        <f t="shared" si="46"/>
        <v>0</v>
      </c>
      <c r="AM66" s="4">
        <f t="shared" si="69"/>
        <v>0</v>
      </c>
      <c r="AN66" s="4">
        <f t="shared" si="70"/>
        <v>0</v>
      </c>
      <c r="AO66" s="4">
        <f t="shared" si="71"/>
        <v>0</v>
      </c>
      <c r="AP66" s="43" t="e">
        <f t="shared" si="72"/>
        <v>#DIV/0!</v>
      </c>
      <c r="AQ66" s="34"/>
      <c r="AR66" s="38"/>
      <c r="AS66" s="2"/>
      <c r="AY66" s="2"/>
    </row>
    <row r="67" spans="1:51" x14ac:dyDescent="0.25">
      <c r="A67" s="21" t="s">
        <v>28</v>
      </c>
      <c r="B67" s="4">
        <v>10064000</v>
      </c>
      <c r="C67" s="4">
        <v>0</v>
      </c>
      <c r="D67" s="4">
        <v>0</v>
      </c>
      <c r="E67" s="4">
        <f t="shared" si="36"/>
        <v>0</v>
      </c>
      <c r="F67" s="4"/>
      <c r="G67" s="4">
        <v>0</v>
      </c>
      <c r="H67" s="4">
        <f t="shared" si="37"/>
        <v>0</v>
      </c>
      <c r="I67" s="4"/>
      <c r="J67" s="4"/>
      <c r="K67" s="4">
        <f t="shared" si="62"/>
        <v>0</v>
      </c>
      <c r="L67" s="4">
        <f>+'202501anual'!F111</f>
        <v>0</v>
      </c>
      <c r="M67" s="78"/>
      <c r="N67" s="4">
        <f t="shared" si="63"/>
        <v>0</v>
      </c>
      <c r="O67" s="4">
        <f>+'202501anual'!G111</f>
        <v>0</v>
      </c>
      <c r="P67" s="4">
        <v>0</v>
      </c>
      <c r="Q67" s="4">
        <f t="shared" si="64"/>
        <v>0</v>
      </c>
      <c r="R67" s="4">
        <f>+'202501anual'!H111</f>
        <v>0</v>
      </c>
      <c r="S67" s="4"/>
      <c r="T67" s="4">
        <f t="shared" si="73"/>
        <v>0</v>
      </c>
      <c r="U67" s="4">
        <f>+'202501anual'!K111</f>
        <v>0</v>
      </c>
      <c r="V67" s="4"/>
      <c r="W67" s="4">
        <f t="shared" si="65"/>
        <v>0</v>
      </c>
      <c r="X67" s="78">
        <f t="shared" si="66"/>
        <v>0</v>
      </c>
      <c r="Y67" s="4"/>
      <c r="Z67" s="4">
        <f t="shared" si="67"/>
        <v>0</v>
      </c>
      <c r="AA67" s="4"/>
      <c r="AB67" s="4"/>
      <c r="AC67" s="4">
        <f t="shared" si="68"/>
        <v>0</v>
      </c>
      <c r="AD67" s="4"/>
      <c r="AE67" s="4">
        <v>10740632</v>
      </c>
      <c r="AF67" s="4">
        <f t="shared" si="44"/>
        <v>-10740632</v>
      </c>
      <c r="AG67" s="4"/>
      <c r="AH67" s="4"/>
      <c r="AI67" s="4">
        <f t="shared" si="45"/>
        <v>0</v>
      </c>
      <c r="AJ67" s="4"/>
      <c r="AK67" s="4">
        <v>0</v>
      </c>
      <c r="AL67" s="4">
        <f t="shared" si="46"/>
        <v>0</v>
      </c>
      <c r="AM67" s="4">
        <f t="shared" si="69"/>
        <v>0</v>
      </c>
      <c r="AN67" s="4">
        <f t="shared" si="70"/>
        <v>10740632</v>
      </c>
      <c r="AO67" s="4">
        <f t="shared" si="71"/>
        <v>-10740632</v>
      </c>
      <c r="AP67" s="43" t="e">
        <f t="shared" si="72"/>
        <v>#DIV/0!</v>
      </c>
      <c r="AQ67" s="34"/>
      <c r="AR67" s="38"/>
      <c r="AS67" s="2"/>
      <c r="AY67" s="2"/>
    </row>
    <row r="68" spans="1:51" ht="15" customHeight="1" x14ac:dyDescent="0.25">
      <c r="A68" s="21" t="s">
        <v>168</v>
      </c>
      <c r="B68" s="4">
        <v>36000000</v>
      </c>
      <c r="C68" s="4">
        <v>0</v>
      </c>
      <c r="D68" s="4">
        <v>0</v>
      </c>
      <c r="E68" s="4">
        <f t="shared" si="36"/>
        <v>0</v>
      </c>
      <c r="F68" s="4"/>
      <c r="G68" s="4">
        <v>0</v>
      </c>
      <c r="H68" s="4">
        <f t="shared" si="37"/>
        <v>0</v>
      </c>
      <c r="I68" s="4">
        <v>1200000</v>
      </c>
      <c r="J68" s="4">
        <v>0</v>
      </c>
      <c r="K68" s="4">
        <f t="shared" si="62"/>
        <v>1200000</v>
      </c>
      <c r="L68" s="4">
        <f>+'202501anual'!F113</f>
        <v>0</v>
      </c>
      <c r="M68" s="78">
        <v>349500</v>
      </c>
      <c r="N68" s="4">
        <f t="shared" si="63"/>
        <v>-349500</v>
      </c>
      <c r="O68" s="4">
        <f>+'202501anual'!G113</f>
        <v>6000000</v>
      </c>
      <c r="P68" s="4"/>
      <c r="Q68" s="4">
        <f t="shared" si="64"/>
        <v>6000000</v>
      </c>
      <c r="R68" s="4">
        <f>+'202501anual'!H113</f>
        <v>1200000</v>
      </c>
      <c r="S68" s="4">
        <v>4857100</v>
      </c>
      <c r="T68" s="4">
        <f t="shared" si="73"/>
        <v>-3657100</v>
      </c>
      <c r="U68" s="4">
        <f>+'202501anual'!I113</f>
        <v>0</v>
      </c>
      <c r="V68" s="4">
        <v>490000</v>
      </c>
      <c r="W68" s="4">
        <f t="shared" si="65"/>
        <v>-490000</v>
      </c>
      <c r="X68" s="145">
        <f>+'202501anual'!J113</f>
        <v>1200000</v>
      </c>
      <c r="Y68" s="4">
        <v>0</v>
      </c>
      <c r="Z68" s="4">
        <f t="shared" si="67"/>
        <v>1200000</v>
      </c>
      <c r="AA68" s="78">
        <f>+'202501anual'!K113</f>
        <v>0</v>
      </c>
      <c r="AB68" s="4"/>
      <c r="AC68" s="4">
        <f t="shared" si="68"/>
        <v>0</v>
      </c>
      <c r="AD68" s="78">
        <f>+'202501anual'!L113</f>
        <v>1200000</v>
      </c>
      <c r="AE68" s="4"/>
      <c r="AF68" s="4">
        <f t="shared" si="44"/>
        <v>1200000</v>
      </c>
      <c r="AG68" s="78">
        <f>+'202501anual'!M113</f>
        <v>0</v>
      </c>
      <c r="AH68" s="4"/>
      <c r="AI68" s="4">
        <f t="shared" si="45"/>
        <v>0</v>
      </c>
      <c r="AJ68" s="78">
        <f>+'202501anual'!N113</f>
        <v>17000000</v>
      </c>
      <c r="AK68" s="4">
        <v>0</v>
      </c>
      <c r="AL68" s="4">
        <f t="shared" si="46"/>
        <v>17000000</v>
      </c>
      <c r="AM68" s="4">
        <f t="shared" si="69"/>
        <v>27800000</v>
      </c>
      <c r="AN68" s="4">
        <f t="shared" si="70"/>
        <v>5696600</v>
      </c>
      <c r="AO68" s="4">
        <f t="shared" si="71"/>
        <v>22103400</v>
      </c>
      <c r="AP68" s="43">
        <f t="shared" si="72"/>
        <v>79.508633093525177</v>
      </c>
      <c r="AQ68" s="34"/>
      <c r="AR68" s="38"/>
      <c r="AS68" s="2"/>
      <c r="AY68" s="2"/>
    </row>
    <row r="69" spans="1:51" x14ac:dyDescent="0.25">
      <c r="A69" s="21" t="s">
        <v>138</v>
      </c>
      <c r="B69" s="4">
        <v>22036000</v>
      </c>
      <c r="C69" s="4">
        <v>0</v>
      </c>
      <c r="D69" s="4"/>
      <c r="E69" s="4">
        <f t="shared" si="36"/>
        <v>0</v>
      </c>
      <c r="F69" s="4"/>
      <c r="G69" s="4">
        <v>0</v>
      </c>
      <c r="H69" s="4">
        <f t="shared" si="37"/>
        <v>0</v>
      </c>
      <c r="I69" s="4"/>
      <c r="J69" s="4"/>
      <c r="K69" s="4">
        <f t="shared" si="62"/>
        <v>0</v>
      </c>
      <c r="L69" s="4"/>
      <c r="M69" s="78"/>
      <c r="N69" s="4">
        <f t="shared" si="63"/>
        <v>0</v>
      </c>
      <c r="O69" s="4"/>
      <c r="P69" s="4"/>
      <c r="Q69" s="4">
        <f t="shared" si="64"/>
        <v>0</v>
      </c>
      <c r="R69" s="4"/>
      <c r="S69" s="4"/>
      <c r="T69" s="4">
        <f t="shared" si="73"/>
        <v>0</v>
      </c>
      <c r="U69" s="4"/>
      <c r="V69" s="4"/>
      <c r="W69" s="4">
        <f t="shared" si="65"/>
        <v>0</v>
      </c>
      <c r="X69" s="78">
        <f t="shared" si="66"/>
        <v>0</v>
      </c>
      <c r="Y69" s="4"/>
      <c r="Z69" s="4">
        <f t="shared" si="67"/>
        <v>0</v>
      </c>
      <c r="AA69" s="4"/>
      <c r="AB69" s="4"/>
      <c r="AC69" s="4">
        <f t="shared" si="68"/>
        <v>0</v>
      </c>
      <c r="AD69" s="4"/>
      <c r="AE69" s="4"/>
      <c r="AF69" s="4">
        <f t="shared" si="44"/>
        <v>0</v>
      </c>
      <c r="AG69" s="4"/>
      <c r="AH69" s="4"/>
      <c r="AI69" s="4">
        <f t="shared" si="45"/>
        <v>0</v>
      </c>
      <c r="AJ69" s="4">
        <f>+'202501anual'!N114</f>
        <v>950000</v>
      </c>
      <c r="AK69" s="4">
        <v>0</v>
      </c>
      <c r="AL69" s="4">
        <f t="shared" si="46"/>
        <v>950000</v>
      </c>
      <c r="AM69" s="4">
        <f t="shared" si="69"/>
        <v>950000</v>
      </c>
      <c r="AN69" s="4">
        <f t="shared" si="70"/>
        <v>0</v>
      </c>
      <c r="AO69" s="4">
        <f t="shared" si="71"/>
        <v>950000</v>
      </c>
      <c r="AP69" s="43">
        <f t="shared" si="72"/>
        <v>100</v>
      </c>
      <c r="AQ69" s="34"/>
      <c r="AR69" s="38"/>
      <c r="AS69" s="2"/>
      <c r="AY69" s="2"/>
    </row>
    <row r="70" spans="1:51" x14ac:dyDescent="0.25">
      <c r="A70" s="21" t="s">
        <v>187</v>
      </c>
      <c r="B70" s="4">
        <v>7000000</v>
      </c>
      <c r="C70" s="4">
        <v>0</v>
      </c>
      <c r="D70" s="4">
        <v>0</v>
      </c>
      <c r="E70" s="4">
        <f t="shared" si="36"/>
        <v>0</v>
      </c>
      <c r="F70" s="4"/>
      <c r="G70" s="4">
        <v>0</v>
      </c>
      <c r="H70" s="4">
        <f t="shared" si="37"/>
        <v>0</v>
      </c>
      <c r="I70" s="4">
        <v>1400000</v>
      </c>
      <c r="J70" s="4">
        <v>0</v>
      </c>
      <c r="K70" s="4">
        <f t="shared" si="62"/>
        <v>1400000</v>
      </c>
      <c r="L70" s="4">
        <f>+'202501anual'!F115</f>
        <v>0</v>
      </c>
      <c r="M70" s="78"/>
      <c r="N70" s="4">
        <f t="shared" si="63"/>
        <v>0</v>
      </c>
      <c r="O70" s="4">
        <f>+'202501anual'!G115</f>
        <v>1400000</v>
      </c>
      <c r="P70" s="4">
        <v>3759935</v>
      </c>
      <c r="Q70" s="4">
        <f t="shared" si="64"/>
        <v>-2359935</v>
      </c>
      <c r="R70" s="4">
        <f>+'202501anual'!H115</f>
        <v>0</v>
      </c>
      <c r="S70" s="4">
        <v>0</v>
      </c>
      <c r="T70" s="4">
        <f t="shared" si="73"/>
        <v>0</v>
      </c>
      <c r="U70" s="4">
        <v>0</v>
      </c>
      <c r="V70" s="4">
        <v>0</v>
      </c>
      <c r="W70" s="4">
        <f t="shared" si="65"/>
        <v>0</v>
      </c>
      <c r="X70" s="78">
        <f t="shared" si="66"/>
        <v>0</v>
      </c>
      <c r="Y70" s="4">
        <v>1124277</v>
      </c>
      <c r="Z70" s="4">
        <f t="shared" si="67"/>
        <v>-1124277</v>
      </c>
      <c r="AA70" s="4">
        <f>+'202501anual'!K115</f>
        <v>1400000</v>
      </c>
      <c r="AB70" s="4">
        <v>721640</v>
      </c>
      <c r="AC70" s="4">
        <f t="shared" si="68"/>
        <v>678360</v>
      </c>
      <c r="AD70" s="4">
        <f>+'202501anual'!L115</f>
        <v>0</v>
      </c>
      <c r="AE70" s="4"/>
      <c r="AF70" s="4">
        <f t="shared" si="44"/>
        <v>0</v>
      </c>
      <c r="AG70" s="4">
        <f>+'202501anual'!M115</f>
        <v>1400000</v>
      </c>
      <c r="AH70" s="4">
        <v>402637</v>
      </c>
      <c r="AI70" s="4">
        <f t="shared" si="45"/>
        <v>997363</v>
      </c>
      <c r="AJ70" s="4">
        <f>+'202501anual'!N115</f>
        <v>0</v>
      </c>
      <c r="AK70" s="4">
        <v>0</v>
      </c>
      <c r="AL70" s="4">
        <f t="shared" si="46"/>
        <v>0</v>
      </c>
      <c r="AM70" s="4">
        <f t="shared" si="69"/>
        <v>5600000</v>
      </c>
      <c r="AN70" s="4">
        <f t="shared" si="70"/>
        <v>6008489</v>
      </c>
      <c r="AO70" s="4">
        <f t="shared" si="71"/>
        <v>-408489</v>
      </c>
      <c r="AP70" s="43">
        <f t="shared" si="72"/>
        <v>-7.2944464285714288</v>
      </c>
      <c r="AQ70" s="34"/>
      <c r="AR70" s="36"/>
      <c r="AS70" s="2"/>
      <c r="AY70" s="2"/>
    </row>
    <row r="71" spans="1:51" ht="15" customHeight="1" x14ac:dyDescent="0.25">
      <c r="A71" s="21" t="s">
        <v>78</v>
      </c>
      <c r="B71" s="4">
        <v>3000000</v>
      </c>
      <c r="C71" s="4">
        <v>0</v>
      </c>
      <c r="D71" s="4">
        <v>0</v>
      </c>
      <c r="E71" s="4">
        <f t="shared" si="36"/>
        <v>0</v>
      </c>
      <c r="F71" s="4">
        <v>120000</v>
      </c>
      <c r="G71" s="4">
        <v>0</v>
      </c>
      <c r="H71" s="4">
        <f t="shared" si="37"/>
        <v>120000</v>
      </c>
      <c r="I71" s="4">
        <v>120000</v>
      </c>
      <c r="J71" s="4">
        <v>4336500</v>
      </c>
      <c r="K71" s="4">
        <f t="shared" si="62"/>
        <v>-4216500</v>
      </c>
      <c r="L71" s="4">
        <f>+'202501anual'!F118</f>
        <v>120000</v>
      </c>
      <c r="M71" s="78"/>
      <c r="N71" s="4">
        <f t="shared" si="63"/>
        <v>120000</v>
      </c>
      <c r="O71" s="4">
        <f>+'202501anual'!G118</f>
        <v>120000</v>
      </c>
      <c r="P71" s="4">
        <v>363800</v>
      </c>
      <c r="Q71" s="4">
        <f t="shared" si="64"/>
        <v>-243800</v>
      </c>
      <c r="R71" s="4">
        <f>+'202501anual'!H118</f>
        <v>120000</v>
      </c>
      <c r="S71" s="4">
        <v>0</v>
      </c>
      <c r="T71" s="4">
        <f t="shared" si="73"/>
        <v>120000</v>
      </c>
      <c r="U71" s="4">
        <v>0</v>
      </c>
      <c r="V71" s="4">
        <v>0</v>
      </c>
      <c r="W71" s="4">
        <f t="shared" si="65"/>
        <v>0</v>
      </c>
      <c r="X71" s="145">
        <f>+'202501anual'!J118</f>
        <v>120000</v>
      </c>
      <c r="Y71" s="4">
        <v>0</v>
      </c>
      <c r="Z71" s="4">
        <f t="shared" si="67"/>
        <v>120000</v>
      </c>
      <c r="AA71" s="78">
        <f>+'202501anual'!K118</f>
        <v>120000</v>
      </c>
      <c r="AB71" s="4"/>
      <c r="AC71" s="4">
        <f t="shared" si="68"/>
        <v>120000</v>
      </c>
      <c r="AD71" s="78">
        <f>+'202501anual'!L118</f>
        <v>120000</v>
      </c>
      <c r="AE71" s="4"/>
      <c r="AF71" s="4">
        <f t="shared" si="44"/>
        <v>120000</v>
      </c>
      <c r="AG71" s="78">
        <f>+'202501anual'!M118</f>
        <v>120000</v>
      </c>
      <c r="AH71" s="4">
        <v>1372100</v>
      </c>
      <c r="AI71" s="4">
        <f t="shared" si="45"/>
        <v>-1252100</v>
      </c>
      <c r="AJ71" s="78">
        <f>+'202501anual'!N118</f>
        <v>120000</v>
      </c>
      <c r="AK71" s="4">
        <v>0</v>
      </c>
      <c r="AL71" s="4">
        <f t="shared" si="46"/>
        <v>120000</v>
      </c>
      <c r="AM71" s="4">
        <f t="shared" si="69"/>
        <v>1200000</v>
      </c>
      <c r="AN71" s="4">
        <f t="shared" si="70"/>
        <v>6072400</v>
      </c>
      <c r="AO71" s="4">
        <f t="shared" si="71"/>
        <v>-4872400</v>
      </c>
      <c r="AP71" s="43">
        <f t="shared" si="72"/>
        <v>-406.03333333333336</v>
      </c>
      <c r="AQ71" s="34"/>
      <c r="AR71" s="36"/>
      <c r="AS71" s="2"/>
      <c r="AY71" s="2"/>
    </row>
    <row r="72" spans="1:51" ht="30" x14ac:dyDescent="0.25">
      <c r="A72" s="21" t="s">
        <v>136</v>
      </c>
      <c r="B72" s="4">
        <v>32500000</v>
      </c>
      <c r="C72" s="4">
        <v>0</v>
      </c>
      <c r="D72" s="4">
        <v>0</v>
      </c>
      <c r="E72" s="4">
        <f t="shared" si="36"/>
        <v>0</v>
      </c>
      <c r="F72" s="4"/>
      <c r="G72" s="4">
        <v>0</v>
      </c>
      <c r="H72" s="4">
        <f t="shared" si="37"/>
        <v>0</v>
      </c>
      <c r="I72" s="4">
        <v>0</v>
      </c>
      <c r="J72" s="4"/>
      <c r="K72" s="4">
        <f t="shared" si="62"/>
        <v>0</v>
      </c>
      <c r="L72" s="4">
        <f>+'202501anual'!F119</f>
        <v>6500000</v>
      </c>
      <c r="M72" s="78"/>
      <c r="N72" s="4">
        <f t="shared" si="63"/>
        <v>6500000</v>
      </c>
      <c r="O72" s="4">
        <f>+'202501anual'!G119</f>
        <v>0</v>
      </c>
      <c r="P72" s="4"/>
      <c r="Q72" s="4">
        <f t="shared" si="64"/>
        <v>0</v>
      </c>
      <c r="R72" s="4">
        <f>+'202501anual'!H119</f>
        <v>6500000</v>
      </c>
      <c r="S72" s="4">
        <v>215000</v>
      </c>
      <c r="T72" s="4">
        <f t="shared" si="73"/>
        <v>6285000</v>
      </c>
      <c r="U72" s="4">
        <f>+'202501anual'!I119</f>
        <v>0</v>
      </c>
      <c r="V72" s="4">
        <v>0</v>
      </c>
      <c r="W72" s="4">
        <f t="shared" si="65"/>
        <v>0</v>
      </c>
      <c r="X72" s="145">
        <f>+'202501anual'!J119-3500000</f>
        <v>3000000</v>
      </c>
      <c r="Y72" s="4">
        <v>0</v>
      </c>
      <c r="Z72" s="4">
        <f t="shared" si="67"/>
        <v>3000000</v>
      </c>
      <c r="AA72" s="78">
        <f>+'202501anual'!K119</f>
        <v>0</v>
      </c>
      <c r="AB72" s="4"/>
      <c r="AC72" s="4">
        <f t="shared" si="68"/>
        <v>0</v>
      </c>
      <c r="AD72" s="78">
        <f>+'202501anual'!L119+4000000</f>
        <v>10500000</v>
      </c>
      <c r="AE72" s="4">
        <v>6110000</v>
      </c>
      <c r="AF72" s="4">
        <f t="shared" si="44"/>
        <v>4390000</v>
      </c>
      <c r="AG72" s="78">
        <f>+'202501anual'!M119</f>
        <v>0</v>
      </c>
      <c r="AH72" s="4"/>
      <c r="AI72" s="4">
        <f t="shared" si="45"/>
        <v>0</v>
      </c>
      <c r="AJ72" s="78">
        <f>+'202501anual'!N119</f>
        <v>6500000</v>
      </c>
      <c r="AK72" s="4">
        <v>0</v>
      </c>
      <c r="AL72" s="4">
        <f t="shared" si="46"/>
        <v>6500000</v>
      </c>
      <c r="AM72" s="4">
        <f t="shared" si="69"/>
        <v>33000000</v>
      </c>
      <c r="AN72" s="4">
        <f t="shared" si="70"/>
        <v>6325000</v>
      </c>
      <c r="AO72" s="4">
        <f t="shared" si="71"/>
        <v>26675000</v>
      </c>
      <c r="AP72" s="43">
        <f t="shared" si="72"/>
        <v>80.833333333333329</v>
      </c>
      <c r="AQ72" s="34"/>
      <c r="AR72" s="38"/>
      <c r="AS72" s="2"/>
      <c r="AY72" s="2"/>
    </row>
    <row r="73" spans="1:51" ht="30" x14ac:dyDescent="0.25">
      <c r="A73" s="21" t="s">
        <v>137</v>
      </c>
      <c r="B73" s="4">
        <v>12000000</v>
      </c>
      <c r="C73" s="4">
        <v>0</v>
      </c>
      <c r="D73" s="4">
        <v>0</v>
      </c>
      <c r="E73" s="4">
        <f t="shared" si="36"/>
        <v>0</v>
      </c>
      <c r="F73" s="4"/>
      <c r="G73" s="4">
        <v>0</v>
      </c>
      <c r="H73" s="4">
        <f t="shared" si="37"/>
        <v>0</v>
      </c>
      <c r="I73" s="4">
        <v>0</v>
      </c>
      <c r="J73" s="4"/>
      <c r="K73" s="4">
        <f t="shared" si="62"/>
        <v>0</v>
      </c>
      <c r="L73" s="4">
        <v>3350000</v>
      </c>
      <c r="M73" s="78"/>
      <c r="N73" s="4">
        <f t="shared" si="63"/>
        <v>3350000</v>
      </c>
      <c r="O73" s="4">
        <f>+'202501anual'!G120</f>
        <v>7000000</v>
      </c>
      <c r="P73" s="4"/>
      <c r="Q73" s="4">
        <f t="shared" si="64"/>
        <v>7000000</v>
      </c>
      <c r="R73" s="4">
        <f>+'202501anual'!H120</f>
        <v>0</v>
      </c>
      <c r="S73" s="4">
        <v>0</v>
      </c>
      <c r="T73" s="4">
        <f t="shared" si="73"/>
        <v>0</v>
      </c>
      <c r="U73" s="4">
        <f>+'202501anual'!I120</f>
        <v>0</v>
      </c>
      <c r="V73" s="4">
        <v>0</v>
      </c>
      <c r="W73" s="4">
        <f t="shared" si="65"/>
        <v>0</v>
      </c>
      <c r="X73" s="78">
        <f t="shared" si="66"/>
        <v>0</v>
      </c>
      <c r="Y73" s="4">
        <v>0</v>
      </c>
      <c r="Z73" s="4">
        <f t="shared" si="67"/>
        <v>0</v>
      </c>
      <c r="AA73" s="4"/>
      <c r="AB73" s="4"/>
      <c r="AC73" s="4">
        <f t="shared" si="68"/>
        <v>0</v>
      </c>
      <c r="AD73" s="4">
        <v>0</v>
      </c>
      <c r="AE73" s="4"/>
      <c r="AF73" s="4">
        <f t="shared" si="44"/>
        <v>0</v>
      </c>
      <c r="AG73" s="4">
        <v>0</v>
      </c>
      <c r="AH73" s="4"/>
      <c r="AI73" s="4">
        <f t="shared" si="45"/>
        <v>0</v>
      </c>
      <c r="AJ73" s="4">
        <v>0</v>
      </c>
      <c r="AK73" s="4">
        <v>0</v>
      </c>
      <c r="AL73" s="4">
        <f t="shared" si="46"/>
        <v>0</v>
      </c>
      <c r="AM73" s="4">
        <f t="shared" si="69"/>
        <v>10350000</v>
      </c>
      <c r="AN73" s="4">
        <f t="shared" si="70"/>
        <v>0</v>
      </c>
      <c r="AO73" s="4">
        <f t="shared" si="71"/>
        <v>10350000</v>
      </c>
      <c r="AP73" s="43">
        <f t="shared" si="72"/>
        <v>100</v>
      </c>
      <c r="AQ73" s="34"/>
      <c r="AR73" s="38"/>
      <c r="AS73" s="2"/>
      <c r="AY73" s="2"/>
    </row>
    <row r="74" spans="1:51" ht="15" customHeight="1" x14ac:dyDescent="0.25">
      <c r="A74" s="21" t="s">
        <v>170</v>
      </c>
      <c r="B74" s="4">
        <v>31000000</v>
      </c>
      <c r="C74" s="4">
        <v>0</v>
      </c>
      <c r="D74" s="4">
        <v>0</v>
      </c>
      <c r="E74" s="4">
        <f t="shared" si="36"/>
        <v>0</v>
      </c>
      <c r="F74" s="4"/>
      <c r="G74" s="4">
        <v>5611556</v>
      </c>
      <c r="H74" s="4">
        <f t="shared" si="37"/>
        <v>-5611556</v>
      </c>
      <c r="I74" s="4">
        <v>7000000</v>
      </c>
      <c r="J74" s="4">
        <v>0</v>
      </c>
      <c r="K74" s="4">
        <f t="shared" si="62"/>
        <v>7000000</v>
      </c>
      <c r="L74" s="4">
        <f>+'202501anual'!F122</f>
        <v>3000000</v>
      </c>
      <c r="M74" s="78"/>
      <c r="N74" s="4">
        <f t="shared" si="63"/>
        <v>3000000</v>
      </c>
      <c r="O74" s="4">
        <f>+'202501anual'!G122</f>
        <v>0</v>
      </c>
      <c r="P74" s="4">
        <v>4151875</v>
      </c>
      <c r="Q74" s="4">
        <f t="shared" si="64"/>
        <v>-4151875</v>
      </c>
      <c r="R74" s="4">
        <f>+'202501anual'!H122</f>
        <v>7000000</v>
      </c>
      <c r="S74" s="4">
        <v>0</v>
      </c>
      <c r="T74" s="4">
        <f t="shared" si="73"/>
        <v>7000000</v>
      </c>
      <c r="U74" s="4">
        <v>14500000</v>
      </c>
      <c r="V74" s="4"/>
      <c r="W74" s="4">
        <f t="shared" si="65"/>
        <v>14500000</v>
      </c>
      <c r="X74" s="78">
        <f t="shared" si="66"/>
        <v>14500000</v>
      </c>
      <c r="Y74" s="4">
        <v>0</v>
      </c>
      <c r="Z74" s="4">
        <f t="shared" si="67"/>
        <v>14500000</v>
      </c>
      <c r="AA74" s="4">
        <f>+'202501anual'!K122</f>
        <v>7000000</v>
      </c>
      <c r="AB74" s="4"/>
      <c r="AC74" s="4">
        <f t="shared" si="68"/>
        <v>7000000</v>
      </c>
      <c r="AD74" s="4">
        <f>+'202501anual'!L122</f>
        <v>0</v>
      </c>
      <c r="AE74" s="4"/>
      <c r="AF74" s="4">
        <f t="shared" si="44"/>
        <v>0</v>
      </c>
      <c r="AG74" s="4">
        <f>+'202501anual'!M122</f>
        <v>0</v>
      </c>
      <c r="AH74" s="4"/>
      <c r="AI74" s="4">
        <f t="shared" si="45"/>
        <v>0</v>
      </c>
      <c r="AJ74" s="4">
        <f>+'202501anual'!N122</f>
        <v>7000000</v>
      </c>
      <c r="AK74" s="4">
        <v>0</v>
      </c>
      <c r="AL74" s="4">
        <f t="shared" si="46"/>
        <v>7000000</v>
      </c>
      <c r="AM74" s="4">
        <f t="shared" si="69"/>
        <v>60000000</v>
      </c>
      <c r="AN74" s="4">
        <f t="shared" si="70"/>
        <v>9763431</v>
      </c>
      <c r="AO74" s="4">
        <f t="shared" si="71"/>
        <v>50236569</v>
      </c>
      <c r="AP74" s="43">
        <f t="shared" si="72"/>
        <v>83.727615</v>
      </c>
      <c r="AQ74" s="34"/>
      <c r="AR74" s="38"/>
      <c r="AS74" s="2"/>
      <c r="AY74" s="2"/>
    </row>
    <row r="75" spans="1:51" ht="15" customHeight="1" x14ac:dyDescent="0.25">
      <c r="A75" s="21" t="s">
        <v>33</v>
      </c>
      <c r="B75" s="4">
        <v>9825000</v>
      </c>
      <c r="C75" s="4">
        <v>0</v>
      </c>
      <c r="D75" s="4">
        <v>0</v>
      </c>
      <c r="E75" s="4">
        <f t="shared" si="36"/>
        <v>0</v>
      </c>
      <c r="F75" s="4">
        <v>450000</v>
      </c>
      <c r="G75" s="4">
        <v>0</v>
      </c>
      <c r="H75" s="4">
        <f t="shared" si="37"/>
        <v>450000</v>
      </c>
      <c r="I75" s="4">
        <v>450000</v>
      </c>
      <c r="J75" s="4">
        <v>0</v>
      </c>
      <c r="K75" s="4">
        <f t="shared" si="62"/>
        <v>450000</v>
      </c>
      <c r="L75" s="4">
        <f>+'202501anual'!F134</f>
        <v>450000</v>
      </c>
      <c r="M75" s="78">
        <v>0</v>
      </c>
      <c r="N75" s="4">
        <f t="shared" si="63"/>
        <v>450000</v>
      </c>
      <c r="O75" s="4">
        <f>+'202501anual'!G134</f>
        <v>450000</v>
      </c>
      <c r="P75" s="4"/>
      <c r="Q75" s="4">
        <f t="shared" si="64"/>
        <v>450000</v>
      </c>
      <c r="R75" s="4">
        <f>+'202501anual'!H134</f>
        <v>400000</v>
      </c>
      <c r="S75" s="4">
        <v>0</v>
      </c>
      <c r="T75" s="4">
        <f t="shared" si="73"/>
        <v>400000</v>
      </c>
      <c r="U75" s="4">
        <f>+'202501anual'!I134</f>
        <v>400000</v>
      </c>
      <c r="V75" s="4">
        <v>0</v>
      </c>
      <c r="W75" s="4">
        <f t="shared" si="65"/>
        <v>400000</v>
      </c>
      <c r="X75" s="145">
        <f t="shared" si="66"/>
        <v>400000</v>
      </c>
      <c r="Y75" s="4">
        <v>0</v>
      </c>
      <c r="Z75" s="4">
        <f t="shared" si="67"/>
        <v>400000</v>
      </c>
      <c r="AA75" s="4">
        <f>+'202501anual'!K134</f>
        <v>400000</v>
      </c>
      <c r="AB75" s="4"/>
      <c r="AC75" s="4">
        <f t="shared" si="68"/>
        <v>400000</v>
      </c>
      <c r="AD75" s="4">
        <f>+'202501anual'!L134</f>
        <v>400000</v>
      </c>
      <c r="AE75" s="4"/>
      <c r="AF75" s="4">
        <f t="shared" si="44"/>
        <v>400000</v>
      </c>
      <c r="AG75" s="4">
        <f>+'202501anual'!M134</f>
        <v>400000</v>
      </c>
      <c r="AH75" s="4"/>
      <c r="AI75" s="4">
        <f t="shared" si="45"/>
        <v>400000</v>
      </c>
      <c r="AJ75" s="4">
        <f>+'202501anual'!N134</f>
        <v>400000</v>
      </c>
      <c r="AK75" s="4">
        <v>0</v>
      </c>
      <c r="AL75" s="4">
        <f t="shared" si="46"/>
        <v>400000</v>
      </c>
      <c r="AM75" s="4">
        <f t="shared" si="69"/>
        <v>4600000</v>
      </c>
      <c r="AN75" s="4">
        <f t="shared" si="70"/>
        <v>0</v>
      </c>
      <c r="AO75" s="4">
        <f t="shared" si="71"/>
        <v>4600000</v>
      </c>
      <c r="AP75" s="43">
        <f t="shared" si="72"/>
        <v>100</v>
      </c>
      <c r="AQ75" s="34"/>
      <c r="AR75" s="38"/>
      <c r="AS75" s="2"/>
      <c r="AY75" s="2"/>
    </row>
    <row r="76" spans="1:51" ht="15" customHeight="1" x14ac:dyDescent="0.25">
      <c r="A76" s="5" t="s">
        <v>68</v>
      </c>
      <c r="B76" s="4">
        <v>48000000</v>
      </c>
      <c r="C76" s="4">
        <v>4000000</v>
      </c>
      <c r="D76" s="4">
        <v>0</v>
      </c>
      <c r="E76" s="4">
        <f t="shared" si="36"/>
        <v>4000000</v>
      </c>
      <c r="F76" s="4">
        <v>5000000</v>
      </c>
      <c r="G76" s="4">
        <v>0</v>
      </c>
      <c r="H76" s="4">
        <f t="shared" si="37"/>
        <v>5000000</v>
      </c>
      <c r="I76" s="4">
        <v>5000000</v>
      </c>
      <c r="J76" s="4">
        <v>0</v>
      </c>
      <c r="K76" s="4">
        <f t="shared" si="62"/>
        <v>5000000</v>
      </c>
      <c r="L76" s="4">
        <f>+'202501anual'!F136</f>
        <v>5000000</v>
      </c>
      <c r="M76" s="78"/>
      <c r="N76" s="4">
        <f t="shared" si="63"/>
        <v>5000000</v>
      </c>
      <c r="O76" s="4">
        <f>+'202501anual'!G136</f>
        <v>5000000</v>
      </c>
      <c r="P76" s="4"/>
      <c r="Q76" s="4">
        <f t="shared" si="64"/>
        <v>5000000</v>
      </c>
      <c r="R76" s="4">
        <f>+'202501anual'!H136</f>
        <v>5000000</v>
      </c>
      <c r="S76" s="4">
        <v>0</v>
      </c>
      <c r="T76" s="4">
        <f t="shared" si="73"/>
        <v>5000000</v>
      </c>
      <c r="U76" s="4">
        <f>+'202501anual'!I136-180000</f>
        <v>4820000</v>
      </c>
      <c r="V76" s="4">
        <v>1146400</v>
      </c>
      <c r="W76" s="4">
        <f t="shared" si="65"/>
        <v>3673600</v>
      </c>
      <c r="X76" s="145">
        <f>+'202501anual'!J136</f>
        <v>5000000</v>
      </c>
      <c r="Y76" s="4">
        <v>292400</v>
      </c>
      <c r="Z76" s="4">
        <f t="shared" si="67"/>
        <v>4707600</v>
      </c>
      <c r="AA76" s="78">
        <f>+'202501anual'!K136</f>
        <v>5000000</v>
      </c>
      <c r="AB76" s="4">
        <v>2700680</v>
      </c>
      <c r="AC76" s="4">
        <f t="shared" si="68"/>
        <v>2299320</v>
      </c>
      <c r="AD76" s="78">
        <f>+'202501anual'!L136</f>
        <v>5000000</v>
      </c>
      <c r="AE76" s="4"/>
      <c r="AF76" s="4">
        <f t="shared" si="44"/>
        <v>5000000</v>
      </c>
      <c r="AG76" s="78">
        <f>+'202501anual'!M136</f>
        <v>5000000</v>
      </c>
      <c r="AH76" s="4"/>
      <c r="AI76" s="4">
        <f t="shared" si="45"/>
        <v>5000000</v>
      </c>
      <c r="AJ76" s="78">
        <f>+'202501anual'!N136</f>
        <v>5000000</v>
      </c>
      <c r="AK76" s="4">
        <v>0</v>
      </c>
      <c r="AL76" s="4">
        <f t="shared" si="46"/>
        <v>5000000</v>
      </c>
      <c r="AM76" s="4">
        <f t="shared" si="69"/>
        <v>58820000</v>
      </c>
      <c r="AN76" s="4">
        <f t="shared" si="70"/>
        <v>4139480</v>
      </c>
      <c r="AO76" s="4">
        <f t="shared" si="71"/>
        <v>54680520</v>
      </c>
      <c r="AP76" s="43">
        <f t="shared" si="72"/>
        <v>92.962461747704864</v>
      </c>
      <c r="AQ76" s="34"/>
      <c r="AR76" s="38"/>
      <c r="AS76" s="2"/>
      <c r="AY76" s="2"/>
    </row>
    <row r="77" spans="1:51" ht="15" customHeight="1" x14ac:dyDescent="0.25">
      <c r="A77" s="5" t="s">
        <v>86</v>
      </c>
      <c r="B77" s="4">
        <v>26659901</v>
      </c>
      <c r="C77" s="4">
        <v>3254372.0833333335</v>
      </c>
      <c r="D77" s="4">
        <v>2052470</v>
      </c>
      <c r="E77" s="4">
        <f t="shared" si="36"/>
        <v>1201902.0833333335</v>
      </c>
      <c r="F77" s="4">
        <v>2750000</v>
      </c>
      <c r="G77" s="4">
        <v>2491017</v>
      </c>
      <c r="H77" s="4">
        <f t="shared" si="37"/>
        <v>258983</v>
      </c>
      <c r="I77" s="4">
        <v>2750000</v>
      </c>
      <c r="J77" s="4">
        <v>1006390</v>
      </c>
      <c r="K77" s="4">
        <f t="shared" si="62"/>
        <v>1743610</v>
      </c>
      <c r="L77" s="4">
        <f>+'202501anual'!F137</f>
        <v>2750000</v>
      </c>
      <c r="M77" s="78">
        <v>1966886</v>
      </c>
      <c r="N77" s="4">
        <f t="shared" si="63"/>
        <v>783114</v>
      </c>
      <c r="O77" s="4">
        <f>+'202501anual'!G137</f>
        <v>2750000</v>
      </c>
      <c r="P77" s="4">
        <v>2973252</v>
      </c>
      <c r="Q77" s="4">
        <f t="shared" si="64"/>
        <v>-223252</v>
      </c>
      <c r="R77" s="4">
        <f>+'202501anual'!H137</f>
        <v>2750000</v>
      </c>
      <c r="S77" s="4">
        <v>1699203</v>
      </c>
      <c r="T77" s="4">
        <f t="shared" si="73"/>
        <v>1050797</v>
      </c>
      <c r="U77" s="4">
        <f>+'202501anual'!I137</f>
        <v>2900000</v>
      </c>
      <c r="V77" s="4">
        <v>2084785</v>
      </c>
      <c r="W77" s="4">
        <f t="shared" si="65"/>
        <v>815215</v>
      </c>
      <c r="X77" s="145">
        <f>+'202501anual'!J137</f>
        <v>2750000</v>
      </c>
      <c r="Y77" s="4">
        <v>1550589</v>
      </c>
      <c r="Z77" s="4">
        <f t="shared" si="67"/>
        <v>1199411</v>
      </c>
      <c r="AA77" s="78">
        <f>+'202501anual'!K137</f>
        <v>2750000</v>
      </c>
      <c r="AB77" s="4">
        <v>1462660</v>
      </c>
      <c r="AC77" s="4">
        <f t="shared" si="68"/>
        <v>1287340</v>
      </c>
      <c r="AD77" s="78">
        <f>+'202501anual'!L137</f>
        <v>2750000</v>
      </c>
      <c r="AE77" s="4">
        <v>2785554</v>
      </c>
      <c r="AF77" s="4">
        <f t="shared" si="44"/>
        <v>-35554</v>
      </c>
      <c r="AG77" s="78">
        <f>+'202501anual'!M137</f>
        <v>2750000</v>
      </c>
      <c r="AH77" s="4">
        <v>1679254</v>
      </c>
      <c r="AI77" s="4">
        <f t="shared" si="45"/>
        <v>1070746</v>
      </c>
      <c r="AJ77" s="78">
        <f>+'202501anual'!N137</f>
        <v>2750000</v>
      </c>
      <c r="AK77" s="4">
        <v>0</v>
      </c>
      <c r="AL77" s="4">
        <f t="shared" si="46"/>
        <v>2750000</v>
      </c>
      <c r="AM77" s="4">
        <f t="shared" si="69"/>
        <v>33654372.083333336</v>
      </c>
      <c r="AN77" s="4">
        <f t="shared" si="70"/>
        <v>21752060</v>
      </c>
      <c r="AO77" s="4">
        <f t="shared" si="71"/>
        <v>11902312.083333336</v>
      </c>
      <c r="AP77" s="43">
        <f t="shared" si="72"/>
        <v>35.3663174991392</v>
      </c>
      <c r="AQ77" s="34"/>
      <c r="AR77" s="38"/>
      <c r="AS77" s="2"/>
      <c r="AY77" s="2"/>
    </row>
    <row r="78" spans="1:51" x14ac:dyDescent="0.25">
      <c r="A78" s="5" t="s">
        <v>76</v>
      </c>
      <c r="B78" s="4">
        <v>9000000</v>
      </c>
      <c r="C78" s="4">
        <v>0</v>
      </c>
      <c r="D78" s="4">
        <v>0</v>
      </c>
      <c r="E78" s="4">
        <f t="shared" si="36"/>
        <v>0</v>
      </c>
      <c r="F78" s="4">
        <v>0</v>
      </c>
      <c r="G78" s="4">
        <v>0</v>
      </c>
      <c r="H78" s="4">
        <f t="shared" si="37"/>
        <v>0</v>
      </c>
      <c r="I78" s="4"/>
      <c r="J78" s="4"/>
      <c r="K78" s="4">
        <f t="shared" si="62"/>
        <v>0</v>
      </c>
      <c r="L78" s="4">
        <f>+'202501anual'!F139</f>
        <v>800000</v>
      </c>
      <c r="M78" s="78"/>
      <c r="N78" s="4">
        <f t="shared" si="63"/>
        <v>800000</v>
      </c>
      <c r="O78" s="4">
        <f>+'202501anual'!G139</f>
        <v>800000</v>
      </c>
      <c r="P78" s="4"/>
      <c r="Q78" s="4">
        <f t="shared" si="64"/>
        <v>800000</v>
      </c>
      <c r="R78" s="4">
        <f>+'202501anual'!H139</f>
        <v>800000</v>
      </c>
      <c r="S78" s="4">
        <v>0</v>
      </c>
      <c r="T78" s="4">
        <f t="shared" si="73"/>
        <v>800000</v>
      </c>
      <c r="U78" s="4">
        <f>+'202501anual'!I139</f>
        <v>800000</v>
      </c>
      <c r="V78" s="4">
        <v>0</v>
      </c>
      <c r="W78" s="4">
        <f t="shared" si="65"/>
        <v>800000</v>
      </c>
      <c r="X78" s="145">
        <f t="shared" si="66"/>
        <v>800000</v>
      </c>
      <c r="Y78" s="4">
        <v>0</v>
      </c>
      <c r="Z78" s="4">
        <f t="shared" si="67"/>
        <v>800000</v>
      </c>
      <c r="AA78" s="4">
        <f>+'202501anual'!K139</f>
        <v>800000</v>
      </c>
      <c r="AB78" s="4"/>
      <c r="AC78" s="4">
        <f t="shared" si="68"/>
        <v>800000</v>
      </c>
      <c r="AD78" s="4">
        <f>+'202501anual'!L139</f>
        <v>800000</v>
      </c>
      <c r="AE78" s="4"/>
      <c r="AF78" s="4">
        <f t="shared" si="44"/>
        <v>800000</v>
      </c>
      <c r="AG78" s="4">
        <f>+'202501anual'!M139</f>
        <v>800000</v>
      </c>
      <c r="AH78" s="4"/>
      <c r="AI78" s="4">
        <f t="shared" si="45"/>
        <v>800000</v>
      </c>
      <c r="AJ78" s="4">
        <f>+'202501anual'!N139</f>
        <v>800000</v>
      </c>
      <c r="AK78" s="4">
        <v>0</v>
      </c>
      <c r="AL78" s="4">
        <f t="shared" si="46"/>
        <v>800000</v>
      </c>
      <c r="AM78" s="4">
        <f t="shared" si="69"/>
        <v>7200000</v>
      </c>
      <c r="AN78" s="4">
        <f t="shared" si="70"/>
        <v>0</v>
      </c>
      <c r="AO78" s="4">
        <f t="shared" si="71"/>
        <v>7200000</v>
      </c>
      <c r="AP78" s="43">
        <f t="shared" si="72"/>
        <v>100</v>
      </c>
      <c r="AQ78" s="34"/>
      <c r="AR78" s="38"/>
      <c r="AS78" s="2"/>
      <c r="AY78" s="2"/>
    </row>
    <row r="79" spans="1:51" ht="15" customHeight="1" x14ac:dyDescent="0.25">
      <c r="A79" s="5" t="s">
        <v>208</v>
      </c>
      <c r="B79" s="4">
        <v>105600000</v>
      </c>
      <c r="C79" s="4">
        <v>8200000</v>
      </c>
      <c r="D79" s="4">
        <v>5888196</v>
      </c>
      <c r="E79" s="4">
        <f t="shared" si="36"/>
        <v>2311804</v>
      </c>
      <c r="F79" s="4">
        <v>6800000</v>
      </c>
      <c r="G79" s="4">
        <v>4542532</v>
      </c>
      <c r="H79" s="4">
        <f t="shared" si="37"/>
        <v>2257468</v>
      </c>
      <c r="I79" s="4">
        <v>6800000</v>
      </c>
      <c r="J79" s="4">
        <v>3909013</v>
      </c>
      <c r="K79" s="4">
        <f t="shared" si="62"/>
        <v>2890987</v>
      </c>
      <c r="L79" s="4">
        <f>+'202501anual'!F141</f>
        <v>18800000</v>
      </c>
      <c r="M79" s="78">
        <f>1182021+2864210+763681</f>
        <v>4809912</v>
      </c>
      <c r="N79" s="4">
        <f t="shared" si="63"/>
        <v>13990088</v>
      </c>
      <c r="O79" s="4">
        <f>+'202501anual'!G141</f>
        <v>6800000</v>
      </c>
      <c r="P79" s="4">
        <f>1114821+4555133+1165001</f>
        <v>6834955</v>
      </c>
      <c r="Q79" s="4">
        <f t="shared" si="64"/>
        <v>-34955</v>
      </c>
      <c r="R79" s="4">
        <f>+'202501anual'!H141</f>
        <v>6800000</v>
      </c>
      <c r="S79" s="4">
        <v>5219400</v>
      </c>
      <c r="T79" s="4">
        <f t="shared" si="73"/>
        <v>1580600</v>
      </c>
      <c r="U79" s="4">
        <f>+'202501anual'!I141</f>
        <v>6800000</v>
      </c>
      <c r="V79" s="4">
        <f>1221702+1258994+4952131</f>
        <v>7432827</v>
      </c>
      <c r="W79" s="4">
        <f t="shared" si="65"/>
        <v>-632827</v>
      </c>
      <c r="X79" s="145">
        <f t="shared" si="66"/>
        <v>6800000</v>
      </c>
      <c r="Y79" s="4">
        <v>27096012</v>
      </c>
      <c r="Z79" s="4">
        <f t="shared" si="67"/>
        <v>-20296012</v>
      </c>
      <c r="AA79" s="4">
        <f>+'202501anual'!K141</f>
        <v>6800000</v>
      </c>
      <c r="AB79" s="4"/>
      <c r="AC79" s="4">
        <f t="shared" si="68"/>
        <v>6800000</v>
      </c>
      <c r="AD79" s="4">
        <f>+'202501anual'!L141</f>
        <v>6800000</v>
      </c>
      <c r="AE79" s="4">
        <f>1270246+4098279+2042269</f>
        <v>7410794</v>
      </c>
      <c r="AF79" s="4">
        <f t="shared" si="44"/>
        <v>-610794</v>
      </c>
      <c r="AG79" s="4">
        <f>+'202501anual'!M141</f>
        <v>9800000</v>
      </c>
      <c r="AH79" s="4">
        <f>879921+1779821+742303</f>
        <v>3402045</v>
      </c>
      <c r="AI79" s="4">
        <f t="shared" si="45"/>
        <v>6397955</v>
      </c>
      <c r="AJ79" s="4">
        <f>+'202501anual'!N141</f>
        <v>9800000</v>
      </c>
      <c r="AK79" s="4">
        <f>1347792+3679254+861150</f>
        <v>5888196</v>
      </c>
      <c r="AL79" s="4">
        <f t="shared" si="46"/>
        <v>3911804</v>
      </c>
      <c r="AM79" s="4">
        <f t="shared" si="69"/>
        <v>101000000</v>
      </c>
      <c r="AN79" s="4">
        <f t="shared" si="70"/>
        <v>82433882</v>
      </c>
      <c r="AO79" s="4">
        <f t="shared" si="71"/>
        <v>18566118</v>
      </c>
      <c r="AP79" s="43">
        <f t="shared" si="72"/>
        <v>18.38229504950495</v>
      </c>
      <c r="AQ79" s="34"/>
      <c r="AR79" s="38"/>
      <c r="AS79" s="2"/>
      <c r="AY79" s="2"/>
    </row>
    <row r="80" spans="1:51" ht="15" customHeight="1" x14ac:dyDescent="0.25">
      <c r="A80" s="5" t="s">
        <v>83</v>
      </c>
      <c r="B80" s="4">
        <v>6000000</v>
      </c>
      <c r="C80" s="4">
        <v>0</v>
      </c>
      <c r="D80" s="4">
        <v>0</v>
      </c>
      <c r="E80" s="4">
        <f t="shared" si="36"/>
        <v>0</v>
      </c>
      <c r="F80" s="4">
        <v>100000</v>
      </c>
      <c r="G80" s="4">
        <v>0</v>
      </c>
      <c r="H80" s="4">
        <f t="shared" si="37"/>
        <v>100000</v>
      </c>
      <c r="I80" s="4">
        <v>100000</v>
      </c>
      <c r="J80" s="4">
        <v>0</v>
      </c>
      <c r="K80" s="4">
        <f t="shared" si="62"/>
        <v>100000</v>
      </c>
      <c r="L80" s="4">
        <f>+'202501anual'!F142</f>
        <v>100000</v>
      </c>
      <c r="M80" s="78">
        <v>1011500</v>
      </c>
      <c r="N80" s="4">
        <f t="shared" si="63"/>
        <v>-911500</v>
      </c>
      <c r="O80" s="4">
        <f>+'202501anual'!G142</f>
        <v>100000</v>
      </c>
      <c r="P80" s="4"/>
      <c r="Q80" s="4">
        <f t="shared" si="64"/>
        <v>100000</v>
      </c>
      <c r="R80" s="4">
        <f>+'202501anual'!H142</f>
        <v>100000</v>
      </c>
      <c r="S80" s="4">
        <v>21900</v>
      </c>
      <c r="T80" s="4">
        <f t="shared" si="73"/>
        <v>78100</v>
      </c>
      <c r="U80" s="4">
        <f>+'202501anual'!I142</f>
        <v>100000</v>
      </c>
      <c r="V80" s="4"/>
      <c r="W80" s="4">
        <f t="shared" si="65"/>
        <v>100000</v>
      </c>
      <c r="X80" s="145">
        <f t="shared" si="66"/>
        <v>100000</v>
      </c>
      <c r="Y80" s="4">
        <v>0</v>
      </c>
      <c r="Z80" s="4">
        <f t="shared" si="67"/>
        <v>100000</v>
      </c>
      <c r="AA80" s="4">
        <f>+'202501anual'!K142</f>
        <v>100000</v>
      </c>
      <c r="AB80" s="4"/>
      <c r="AC80" s="4">
        <f t="shared" si="68"/>
        <v>100000</v>
      </c>
      <c r="AD80" s="4">
        <f>+'202501anual'!L142</f>
        <v>100000</v>
      </c>
      <c r="AE80" s="4"/>
      <c r="AF80" s="4">
        <f t="shared" si="44"/>
        <v>100000</v>
      </c>
      <c r="AG80" s="4">
        <f>+'202501anual'!M142</f>
        <v>100000</v>
      </c>
      <c r="AH80" s="4"/>
      <c r="AI80" s="4">
        <f t="shared" si="45"/>
        <v>100000</v>
      </c>
      <c r="AJ80" s="4">
        <f>+'202501anual'!N142</f>
        <v>100000</v>
      </c>
      <c r="AK80" s="4">
        <v>0</v>
      </c>
      <c r="AL80" s="4">
        <f t="shared" si="46"/>
        <v>100000</v>
      </c>
      <c r="AM80" s="4">
        <f t="shared" si="69"/>
        <v>1100000</v>
      </c>
      <c r="AN80" s="4">
        <f t="shared" si="70"/>
        <v>1033400</v>
      </c>
      <c r="AO80" s="4">
        <f t="shared" si="71"/>
        <v>66600</v>
      </c>
      <c r="AP80" s="43">
        <f t="shared" si="72"/>
        <v>6.0545454545454547</v>
      </c>
      <c r="AQ80" s="34"/>
      <c r="AR80" s="36"/>
      <c r="AS80" s="2"/>
      <c r="AY80" s="2"/>
    </row>
    <row r="81" spans="1:52" ht="15" customHeight="1" x14ac:dyDescent="0.25">
      <c r="A81" s="5" t="s">
        <v>56</v>
      </c>
      <c r="B81" s="4">
        <v>18100000</v>
      </c>
      <c r="C81" s="4">
        <v>0</v>
      </c>
      <c r="D81" s="4">
        <v>0</v>
      </c>
      <c r="E81" s="4">
        <f t="shared" si="36"/>
        <v>0</v>
      </c>
      <c r="F81" s="4"/>
      <c r="G81" s="4">
        <v>0</v>
      </c>
      <c r="H81" s="4">
        <f t="shared" si="37"/>
        <v>0</v>
      </c>
      <c r="I81" s="4">
        <v>1500000</v>
      </c>
      <c r="J81" s="4">
        <v>0</v>
      </c>
      <c r="K81" s="4">
        <f t="shared" si="62"/>
        <v>1500000</v>
      </c>
      <c r="L81" s="4">
        <f>+'202501anual'!F143</f>
        <v>1500000</v>
      </c>
      <c r="M81" s="78"/>
      <c r="N81" s="4">
        <f t="shared" si="63"/>
        <v>1500000</v>
      </c>
      <c r="O81" s="4">
        <f>+'202501anual'!G143</f>
        <v>1500000</v>
      </c>
      <c r="P81" s="4"/>
      <c r="Q81" s="4">
        <f t="shared" si="64"/>
        <v>1500000</v>
      </c>
      <c r="R81" s="4">
        <f>+'202501anual'!H143</f>
        <v>1500000</v>
      </c>
      <c r="S81" s="4">
        <v>24094000</v>
      </c>
      <c r="T81" s="4">
        <f t="shared" si="73"/>
        <v>-22594000</v>
      </c>
      <c r="U81" s="4">
        <f>+'202501anual'!I143</f>
        <v>1500000</v>
      </c>
      <c r="V81" s="4">
        <v>0</v>
      </c>
      <c r="W81" s="4">
        <f t="shared" si="65"/>
        <v>1500000</v>
      </c>
      <c r="X81" s="145">
        <f t="shared" si="66"/>
        <v>1500000</v>
      </c>
      <c r="Y81" s="4">
        <v>0</v>
      </c>
      <c r="Z81" s="4">
        <f t="shared" si="67"/>
        <v>1500000</v>
      </c>
      <c r="AA81" s="4">
        <f>+'202501anual'!K143</f>
        <v>1500000</v>
      </c>
      <c r="AB81" s="4"/>
      <c r="AC81" s="4">
        <f t="shared" si="68"/>
        <v>1500000</v>
      </c>
      <c r="AD81" s="4">
        <f>+'202501anual'!L143</f>
        <v>1500000</v>
      </c>
      <c r="AE81" s="4"/>
      <c r="AF81" s="4">
        <f t="shared" si="44"/>
        <v>1500000</v>
      </c>
      <c r="AG81" s="4">
        <f>+'202501anual'!M143</f>
        <v>1500000</v>
      </c>
      <c r="AH81" s="4"/>
      <c r="AI81" s="4">
        <f t="shared" si="45"/>
        <v>1500000</v>
      </c>
      <c r="AJ81" s="4">
        <f>+'202501anual'!N143</f>
        <v>1500000</v>
      </c>
      <c r="AK81" s="4">
        <v>0</v>
      </c>
      <c r="AL81" s="4">
        <f t="shared" si="46"/>
        <v>1500000</v>
      </c>
      <c r="AM81" s="4">
        <f t="shared" si="69"/>
        <v>15000000</v>
      </c>
      <c r="AN81" s="4">
        <f t="shared" si="70"/>
        <v>24094000</v>
      </c>
      <c r="AO81" s="4">
        <f t="shared" si="71"/>
        <v>-9094000</v>
      </c>
      <c r="AP81" s="43">
        <f t="shared" si="72"/>
        <v>-60.626666666666665</v>
      </c>
      <c r="AQ81" s="34"/>
      <c r="AR81" s="38"/>
      <c r="AS81" s="2"/>
      <c r="AY81" s="2"/>
    </row>
    <row r="82" spans="1:52" ht="15" customHeight="1" x14ac:dyDescent="0.25">
      <c r="A82" s="5" t="s">
        <v>38</v>
      </c>
      <c r="B82" s="4">
        <v>29568000</v>
      </c>
      <c r="C82" s="4">
        <v>2818530</v>
      </c>
      <c r="D82" s="4">
        <v>2818530</v>
      </c>
      <c r="E82" s="4">
        <f t="shared" si="36"/>
        <v>0</v>
      </c>
      <c r="F82" s="4">
        <v>2847000</v>
      </c>
      <c r="G82" s="4">
        <v>2875470</v>
      </c>
      <c r="H82" s="4">
        <f t="shared" si="37"/>
        <v>-28470</v>
      </c>
      <c r="I82" s="4">
        <v>2847000</v>
      </c>
      <c r="J82" s="4">
        <v>2847000</v>
      </c>
      <c r="K82" s="4">
        <f t="shared" si="62"/>
        <v>0</v>
      </c>
      <c r="L82" s="4">
        <f>+'202501anual'!F144</f>
        <v>2847000</v>
      </c>
      <c r="M82" s="78">
        <v>2847000</v>
      </c>
      <c r="N82" s="4">
        <f t="shared" si="63"/>
        <v>0</v>
      </c>
      <c r="O82" s="4">
        <f>+'202501anual'!G144</f>
        <v>2847000</v>
      </c>
      <c r="P82" s="4">
        <v>2847000</v>
      </c>
      <c r="Q82" s="4">
        <f t="shared" si="64"/>
        <v>0</v>
      </c>
      <c r="R82" s="4">
        <f>+'202501anual'!H144</f>
        <v>2847000</v>
      </c>
      <c r="S82" s="4">
        <v>2847000</v>
      </c>
      <c r="T82" s="4">
        <f t="shared" si="73"/>
        <v>0</v>
      </c>
      <c r="U82" s="4">
        <f>+'202501anual'!I144</f>
        <v>2847000</v>
      </c>
      <c r="V82" s="4">
        <v>2847000</v>
      </c>
      <c r="W82" s="4">
        <f t="shared" si="65"/>
        <v>0</v>
      </c>
      <c r="X82" s="145">
        <f t="shared" si="66"/>
        <v>2847000</v>
      </c>
      <c r="Y82" s="4">
        <v>2847000</v>
      </c>
      <c r="Z82" s="4">
        <f t="shared" si="67"/>
        <v>0</v>
      </c>
      <c r="AA82" s="4">
        <f>+'202501anual'!K144</f>
        <v>2847000</v>
      </c>
      <c r="AB82" s="4"/>
      <c r="AC82" s="4">
        <f t="shared" si="68"/>
        <v>2847000</v>
      </c>
      <c r="AD82" s="4">
        <f>+'202501anual'!L144</f>
        <v>2847000</v>
      </c>
      <c r="AE82" s="4">
        <v>2847000</v>
      </c>
      <c r="AF82" s="4">
        <f t="shared" si="44"/>
        <v>0</v>
      </c>
      <c r="AG82" s="4">
        <f>+'202501anual'!M144</f>
        <v>2847000</v>
      </c>
      <c r="AH82" s="4">
        <v>2847000</v>
      </c>
      <c r="AI82" s="4">
        <f t="shared" si="45"/>
        <v>0</v>
      </c>
      <c r="AJ82" s="4">
        <f>+'202501anual'!N144</f>
        <v>2847000</v>
      </c>
      <c r="AK82" s="4">
        <v>2847000</v>
      </c>
      <c r="AL82" s="4">
        <f t="shared" si="46"/>
        <v>0</v>
      </c>
      <c r="AM82" s="4">
        <f t="shared" si="69"/>
        <v>34135530</v>
      </c>
      <c r="AN82" s="4">
        <f t="shared" si="70"/>
        <v>31317000</v>
      </c>
      <c r="AO82" s="4">
        <f t="shared" si="71"/>
        <v>2818530</v>
      </c>
      <c r="AP82" s="43">
        <f t="shared" si="72"/>
        <v>8.2568807339449553</v>
      </c>
      <c r="AQ82" s="34"/>
      <c r="AR82" s="36"/>
      <c r="AS82" s="2"/>
      <c r="AY82" s="2"/>
    </row>
    <row r="83" spans="1:52" ht="15" customHeight="1" x14ac:dyDescent="0.25">
      <c r="A83" s="5" t="s">
        <v>198</v>
      </c>
      <c r="B83" s="4">
        <v>752695959</v>
      </c>
      <c r="C83" s="4">
        <v>120000000</v>
      </c>
      <c r="D83" s="4">
        <v>0</v>
      </c>
      <c r="E83" s="4">
        <f t="shared" si="36"/>
        <v>120000000</v>
      </c>
      <c r="F83" s="4">
        <v>232000000</v>
      </c>
      <c r="G83" s="4">
        <v>0</v>
      </c>
      <c r="H83" s="4">
        <f t="shared" si="37"/>
        <v>232000000</v>
      </c>
      <c r="I83" s="4">
        <v>90000000</v>
      </c>
      <c r="J83" s="4">
        <v>0</v>
      </c>
      <c r="K83" s="4">
        <f t="shared" si="62"/>
        <v>90000000</v>
      </c>
      <c r="L83" s="4">
        <f>+'202501anual'!F140</f>
        <v>90000000</v>
      </c>
      <c r="M83" s="78"/>
      <c r="N83" s="4">
        <f t="shared" si="63"/>
        <v>90000000</v>
      </c>
      <c r="O83" s="4">
        <f>+'202501anual'!G146</f>
        <v>80000000</v>
      </c>
      <c r="P83" s="4"/>
      <c r="Q83" s="4">
        <f t="shared" si="64"/>
        <v>80000000</v>
      </c>
      <c r="R83" s="4">
        <f>+'202501anual'!H146</f>
        <v>70000000</v>
      </c>
      <c r="S83" s="4"/>
      <c r="T83" s="4">
        <f t="shared" si="73"/>
        <v>70000000</v>
      </c>
      <c r="U83" s="4">
        <f>+'202501anual'!I146</f>
        <v>70695959</v>
      </c>
      <c r="V83" s="4">
        <v>106528825</v>
      </c>
      <c r="W83" s="4">
        <f t="shared" si="65"/>
        <v>-35832866</v>
      </c>
      <c r="X83" s="78">
        <v>0</v>
      </c>
      <c r="Y83" s="4">
        <v>0</v>
      </c>
      <c r="Z83" s="4">
        <f t="shared" si="67"/>
        <v>0</v>
      </c>
      <c r="AA83" s="4">
        <v>0</v>
      </c>
      <c r="AB83" s="4"/>
      <c r="AC83" s="4"/>
      <c r="AD83" s="4">
        <v>0</v>
      </c>
      <c r="AE83" s="4"/>
      <c r="AF83" s="4"/>
      <c r="AG83" s="4">
        <v>0</v>
      </c>
      <c r="AH83" s="4"/>
      <c r="AI83" s="4"/>
      <c r="AJ83" s="4">
        <v>0</v>
      </c>
      <c r="AK83" s="4">
        <v>0</v>
      </c>
      <c r="AL83" s="4"/>
      <c r="AM83" s="4">
        <f t="shared" si="69"/>
        <v>752695959</v>
      </c>
      <c r="AN83" s="4">
        <f t="shared" si="70"/>
        <v>106528825</v>
      </c>
      <c r="AO83" s="4">
        <f t="shared" si="71"/>
        <v>646167134</v>
      </c>
      <c r="AP83" s="43">
        <f t="shared" si="72"/>
        <v>85.847031098515572</v>
      </c>
      <c r="AQ83" s="34"/>
      <c r="AR83" s="38"/>
      <c r="AS83" s="2"/>
      <c r="AY83" s="2"/>
    </row>
    <row r="84" spans="1:52" ht="15" customHeight="1" x14ac:dyDescent="0.25">
      <c r="A84" s="5" t="s">
        <v>39</v>
      </c>
      <c r="B84" s="4">
        <v>196934400</v>
      </c>
      <c r="C84" s="4">
        <v>16411200</v>
      </c>
      <c r="D84" s="4">
        <v>16411200</v>
      </c>
      <c r="E84" s="4">
        <f t="shared" si="36"/>
        <v>0</v>
      </c>
      <c r="F84" s="4">
        <v>16411200</v>
      </c>
      <c r="G84" s="4">
        <v>16411200</v>
      </c>
      <c r="H84" s="4">
        <f t="shared" si="37"/>
        <v>0</v>
      </c>
      <c r="I84" s="4">
        <v>16411200</v>
      </c>
      <c r="J84" s="4">
        <v>16411200</v>
      </c>
      <c r="K84" s="4">
        <f t="shared" si="62"/>
        <v>0</v>
      </c>
      <c r="L84" s="4">
        <f>+'202501anual'!F145</f>
        <v>16411200</v>
      </c>
      <c r="M84" s="78">
        <v>16411200</v>
      </c>
      <c r="N84" s="4">
        <f t="shared" si="63"/>
        <v>0</v>
      </c>
      <c r="O84" s="4">
        <f>+'202501anual'!G145</f>
        <v>16411200</v>
      </c>
      <c r="P84" s="4">
        <v>16411200</v>
      </c>
      <c r="Q84" s="4">
        <f t="shared" si="64"/>
        <v>0</v>
      </c>
      <c r="R84" s="4">
        <f>+'202501anual'!H145</f>
        <v>16411200</v>
      </c>
      <c r="S84" s="4">
        <v>16411200</v>
      </c>
      <c r="T84" s="4">
        <f>+R84-S84</f>
        <v>0</v>
      </c>
      <c r="U84" s="4">
        <f>+'202501anual'!I145</f>
        <v>16411200</v>
      </c>
      <c r="V84" s="4">
        <v>16411200</v>
      </c>
      <c r="W84" s="4">
        <f t="shared" si="65"/>
        <v>0</v>
      </c>
      <c r="X84" s="145">
        <f t="shared" si="66"/>
        <v>16411200</v>
      </c>
      <c r="Y84" s="4">
        <v>16411200</v>
      </c>
      <c r="Z84" s="4">
        <f t="shared" si="67"/>
        <v>0</v>
      </c>
      <c r="AA84" s="4">
        <f>+'202501anual'!K145</f>
        <v>16411200</v>
      </c>
      <c r="AB84" s="4">
        <v>16411200</v>
      </c>
      <c r="AC84" s="4">
        <f t="shared" si="68"/>
        <v>0</v>
      </c>
      <c r="AD84" s="4">
        <f>+'202501anual'!L145</f>
        <v>16411200</v>
      </c>
      <c r="AE84" s="4">
        <v>16411200</v>
      </c>
      <c r="AF84" s="4">
        <f t="shared" si="44"/>
        <v>0</v>
      </c>
      <c r="AG84" s="4">
        <f>+'202501anual'!M145</f>
        <v>16411200</v>
      </c>
      <c r="AH84" s="4">
        <v>16411200</v>
      </c>
      <c r="AI84" s="4">
        <f t="shared" si="45"/>
        <v>0</v>
      </c>
      <c r="AJ84" s="4">
        <f>+'202501anual'!N145</f>
        <v>16411200</v>
      </c>
      <c r="AK84" s="4">
        <v>16411200</v>
      </c>
      <c r="AL84" s="4">
        <f t="shared" si="46"/>
        <v>0</v>
      </c>
      <c r="AM84" s="4">
        <f t="shared" si="69"/>
        <v>196934400</v>
      </c>
      <c r="AN84" s="4">
        <f t="shared" si="70"/>
        <v>196934400</v>
      </c>
      <c r="AO84" s="4">
        <f t="shared" si="71"/>
        <v>0</v>
      </c>
      <c r="AP84" s="43">
        <f t="shared" si="72"/>
        <v>0</v>
      </c>
      <c r="AQ84" s="34"/>
      <c r="AR84" s="36"/>
      <c r="AS84" s="2"/>
      <c r="AY84" s="2"/>
    </row>
    <row r="85" spans="1:52" ht="15" customHeight="1" x14ac:dyDescent="0.25">
      <c r="A85" s="12" t="s">
        <v>171</v>
      </c>
      <c r="B85" s="8">
        <f t="shared" ref="B85:U85" si="74">SUM(B51:B84)</f>
        <v>2442717242.2210565</v>
      </c>
      <c r="C85" s="8">
        <f t="shared" si="74"/>
        <v>220066733.93508804</v>
      </c>
      <c r="D85" s="8">
        <f t="shared" si="74"/>
        <v>74108863.799999997</v>
      </c>
      <c r="E85" s="8">
        <f t="shared" si="74"/>
        <v>145957870.13508803</v>
      </c>
      <c r="F85" s="8">
        <f t="shared" si="74"/>
        <v>334073831.85175467</v>
      </c>
      <c r="G85" s="8">
        <f t="shared" si="74"/>
        <v>108417796</v>
      </c>
      <c r="H85" s="8">
        <f t="shared" si="74"/>
        <v>225656035.8517547</v>
      </c>
      <c r="I85" s="8">
        <f t="shared" si="74"/>
        <v>218473831.8517547</v>
      </c>
      <c r="J85" s="8">
        <f t="shared" si="74"/>
        <v>110047210.03360997</v>
      </c>
      <c r="K85" s="8">
        <f t="shared" si="74"/>
        <v>108426621.81814471</v>
      </c>
      <c r="L85" s="8">
        <f t="shared" si="74"/>
        <v>287323831.85175467</v>
      </c>
      <c r="M85" s="8">
        <f t="shared" si="74"/>
        <v>132469798.28</v>
      </c>
      <c r="N85" s="8">
        <f t="shared" si="74"/>
        <v>154854033.57175469</v>
      </c>
      <c r="O85" s="8">
        <f t="shared" si="74"/>
        <v>217873831.8517547</v>
      </c>
      <c r="P85" s="8">
        <f t="shared" si="74"/>
        <v>127112268.28</v>
      </c>
      <c r="Q85" s="8">
        <f t="shared" si="74"/>
        <v>90761563.571754694</v>
      </c>
      <c r="R85" s="8">
        <f t="shared" si="74"/>
        <v>207973831.8517547</v>
      </c>
      <c r="S85" s="8">
        <f t="shared" si="74"/>
        <v>162527164</v>
      </c>
      <c r="T85" s="8">
        <f t="shared" si="74"/>
        <v>45446667.851754695</v>
      </c>
      <c r="U85" s="8">
        <f t="shared" si="74"/>
        <v>194869790.8517547</v>
      </c>
      <c r="V85" s="8">
        <f t="shared" ref="V85:AO85" si="75">SUM(V51:V84)</f>
        <v>203365325</v>
      </c>
      <c r="W85" s="8">
        <f t="shared" si="75"/>
        <v>-8495534.1482453085</v>
      </c>
      <c r="X85" s="8">
        <f>SUM(X51:X84)</f>
        <v>181073831.8517547</v>
      </c>
      <c r="Y85" s="8">
        <f t="shared" si="75"/>
        <v>112802595</v>
      </c>
      <c r="Z85" s="8">
        <f t="shared" si="75"/>
        <v>68271236.851754695</v>
      </c>
      <c r="AA85" s="8">
        <f t="shared" si="75"/>
        <v>131023831.8517547</v>
      </c>
      <c r="AB85" s="8">
        <f t="shared" si="75"/>
        <v>163586211</v>
      </c>
      <c r="AC85" s="8">
        <f t="shared" si="75"/>
        <v>-32562379.148245305</v>
      </c>
      <c r="AD85" s="8">
        <f t="shared" si="75"/>
        <v>139323831.8517547</v>
      </c>
      <c r="AE85" s="8">
        <f t="shared" si="75"/>
        <v>106984671</v>
      </c>
      <c r="AF85" s="8">
        <f t="shared" si="75"/>
        <v>32339160.851754691</v>
      </c>
      <c r="AG85" s="8">
        <f t="shared" si="75"/>
        <v>148423831.8517547</v>
      </c>
      <c r="AH85" s="8">
        <f t="shared" si="75"/>
        <v>49991966</v>
      </c>
      <c r="AI85" s="8">
        <f t="shared" si="75"/>
        <v>98431865.851754695</v>
      </c>
      <c r="AJ85" s="8">
        <f t="shared" ref="AJ85" si="76">SUM(AJ51:AJ84)</f>
        <v>154073831.8517547</v>
      </c>
      <c r="AK85" s="8">
        <f t="shared" si="75"/>
        <v>93028993.030000001</v>
      </c>
      <c r="AL85" s="8">
        <f t="shared" si="75"/>
        <v>61044838.821754694</v>
      </c>
      <c r="AM85" s="8">
        <f t="shared" si="75"/>
        <v>2434574843.3043895</v>
      </c>
      <c r="AN85" s="8">
        <f t="shared" si="75"/>
        <v>1444442861.42361</v>
      </c>
      <c r="AO85" s="8">
        <f t="shared" si="75"/>
        <v>990131981.8807795</v>
      </c>
      <c r="AP85" s="31">
        <f>+AO85/AM85</f>
        <v>0.40669605397585451</v>
      </c>
      <c r="AQ85" s="34"/>
      <c r="AR85" s="50">
        <f>AL85/AJ85</f>
        <v>0.39620510561774203</v>
      </c>
      <c r="AS85" s="2"/>
      <c r="AY85" s="2"/>
    </row>
    <row r="86" spans="1:52" hidden="1" x14ac:dyDescent="0.25">
      <c r="A86" s="5" t="str">
        <f>+'202501anual'!A127</f>
        <v>Limpieza de cuencas</v>
      </c>
      <c r="B86" s="4">
        <v>8000000</v>
      </c>
      <c r="C86" s="4">
        <v>0</v>
      </c>
      <c r="D86" s="4">
        <v>0</v>
      </c>
      <c r="E86" s="4">
        <f t="shared" si="36"/>
        <v>0</v>
      </c>
      <c r="F86" s="4">
        <v>0</v>
      </c>
      <c r="G86" s="4">
        <v>0</v>
      </c>
      <c r="H86" s="4">
        <f t="shared" si="37"/>
        <v>0</v>
      </c>
      <c r="I86" s="4">
        <v>0</v>
      </c>
      <c r="J86" s="4">
        <v>0</v>
      </c>
      <c r="K86" s="4">
        <f t="shared" si="62"/>
        <v>0</v>
      </c>
      <c r="L86" s="4"/>
      <c r="M86" s="4"/>
      <c r="N86" s="4">
        <f t="shared" si="63"/>
        <v>0</v>
      </c>
      <c r="O86" s="4">
        <f>+'202501anual'!G127</f>
        <v>0</v>
      </c>
      <c r="P86" s="4">
        <v>0</v>
      </c>
      <c r="Q86" s="4">
        <f t="shared" si="64"/>
        <v>0</v>
      </c>
      <c r="R86" s="4">
        <f>+'202501anual'!H127</f>
        <v>0</v>
      </c>
      <c r="S86" s="4">
        <v>0</v>
      </c>
      <c r="T86" s="4">
        <f t="shared" ref="T86:T91" si="77">+R86-S86</f>
        <v>0</v>
      </c>
      <c r="U86" s="4">
        <v>0</v>
      </c>
      <c r="V86" s="4">
        <v>0</v>
      </c>
      <c r="W86" s="4">
        <f t="shared" si="65"/>
        <v>0</v>
      </c>
      <c r="X86" s="78">
        <f t="shared" si="66"/>
        <v>0</v>
      </c>
      <c r="Y86" s="4"/>
      <c r="Z86" s="4">
        <f t="shared" si="67"/>
        <v>0</v>
      </c>
      <c r="AA86" s="4">
        <v>0</v>
      </c>
      <c r="AB86" s="4"/>
      <c r="AC86" s="4">
        <f t="shared" si="68"/>
        <v>0</v>
      </c>
      <c r="AD86" s="4"/>
      <c r="AE86" s="4"/>
      <c r="AF86" s="4">
        <f t="shared" si="44"/>
        <v>0</v>
      </c>
      <c r="AG86" s="4"/>
      <c r="AH86" s="4"/>
      <c r="AI86" s="4">
        <f t="shared" si="45"/>
        <v>0</v>
      </c>
      <c r="AJ86" s="4">
        <v>0</v>
      </c>
      <c r="AK86" s="4"/>
      <c r="AL86" s="4">
        <f t="shared" si="46"/>
        <v>0</v>
      </c>
      <c r="AM86" s="4">
        <f t="shared" ref="AM86:AM92" si="78">+C86+F86+I86+L86+O86+R86+U86+X86+AA86+AD86+AG86+AJ86</f>
        <v>0</v>
      </c>
      <c r="AN86" s="4">
        <f t="shared" ref="AN86:AN92" si="79">+D86+G86+J86+M86+P86+S86+V86+Y86+AB86+AE86+AH86+AK86</f>
        <v>0</v>
      </c>
      <c r="AO86" s="4">
        <f t="shared" ref="AO86:AO92" si="80">+AM86-AN86</f>
        <v>0</v>
      </c>
      <c r="AP86" s="43" t="e">
        <f t="shared" si="72"/>
        <v>#DIV/0!</v>
      </c>
      <c r="AQ86" s="34"/>
      <c r="AR86" s="38"/>
      <c r="AS86" s="96"/>
      <c r="AY86" s="2"/>
    </row>
    <row r="87" spans="1:52" x14ac:dyDescent="0.25">
      <c r="A87" s="5" t="str">
        <f>+'202501anual'!A128</f>
        <v>Permiso de vertimiento (alcantarillado)</v>
      </c>
      <c r="B87" s="4">
        <v>8000000</v>
      </c>
      <c r="C87" s="4">
        <v>0</v>
      </c>
      <c r="D87" s="4">
        <v>0</v>
      </c>
      <c r="E87" s="4">
        <f t="shared" si="36"/>
        <v>0</v>
      </c>
      <c r="F87" s="4">
        <v>0</v>
      </c>
      <c r="G87" s="4">
        <v>0</v>
      </c>
      <c r="H87" s="4">
        <f t="shared" si="37"/>
        <v>0</v>
      </c>
      <c r="I87" s="4">
        <v>0</v>
      </c>
      <c r="J87" s="4">
        <v>0</v>
      </c>
      <c r="K87" s="4">
        <f t="shared" si="62"/>
        <v>0</v>
      </c>
      <c r="L87" s="4">
        <f>+'202501anual'!F129</f>
        <v>0</v>
      </c>
      <c r="M87" s="4"/>
      <c r="N87" s="4">
        <f t="shared" si="63"/>
        <v>0</v>
      </c>
      <c r="O87" s="4">
        <f>+'202501anual'!G128</f>
        <v>8000000</v>
      </c>
      <c r="P87" s="4"/>
      <c r="Q87" s="4">
        <f t="shared" si="64"/>
        <v>8000000</v>
      </c>
      <c r="R87" s="4">
        <f>+'202501anual'!H128</f>
        <v>0</v>
      </c>
      <c r="S87" s="4">
        <v>0</v>
      </c>
      <c r="T87" s="4">
        <f>+R87-S87</f>
        <v>0</v>
      </c>
      <c r="U87" s="4">
        <f>+'202501anual'!I131</f>
        <v>4000000</v>
      </c>
      <c r="V87" s="4">
        <v>0</v>
      </c>
      <c r="W87" s="4">
        <f t="shared" si="65"/>
        <v>4000000</v>
      </c>
      <c r="X87" s="78">
        <v>0</v>
      </c>
      <c r="Y87" s="4">
        <v>0</v>
      </c>
      <c r="Z87" s="4">
        <f t="shared" si="67"/>
        <v>0</v>
      </c>
      <c r="AA87" s="4"/>
      <c r="AB87" s="4"/>
      <c r="AC87" s="4">
        <f t="shared" si="68"/>
        <v>0</v>
      </c>
      <c r="AD87" s="4"/>
      <c r="AE87" s="4"/>
      <c r="AF87" s="4">
        <f t="shared" si="44"/>
        <v>0</v>
      </c>
      <c r="AG87" s="4"/>
      <c r="AH87" s="4"/>
      <c r="AI87" s="4">
        <f t="shared" si="45"/>
        <v>0</v>
      </c>
      <c r="AJ87" s="4">
        <v>0</v>
      </c>
      <c r="AK87" s="4">
        <v>0</v>
      </c>
      <c r="AL87" s="4">
        <f t="shared" si="46"/>
        <v>0</v>
      </c>
      <c r="AM87" s="4">
        <f t="shared" si="78"/>
        <v>12000000</v>
      </c>
      <c r="AN87" s="4">
        <f t="shared" si="79"/>
        <v>0</v>
      </c>
      <c r="AO87" s="4">
        <f t="shared" si="80"/>
        <v>12000000</v>
      </c>
      <c r="AP87" s="43">
        <f t="shared" si="72"/>
        <v>100</v>
      </c>
      <c r="AQ87" s="34"/>
      <c r="AR87" s="38"/>
      <c r="AS87" s="2"/>
      <c r="AY87" s="2"/>
    </row>
    <row r="88" spans="1:52" x14ac:dyDescent="0.25">
      <c r="A88" s="5" t="str">
        <f>+'202501anual'!A129</f>
        <v>Permiso de concesión de agua</v>
      </c>
      <c r="B88" s="4">
        <v>8000000</v>
      </c>
      <c r="C88" s="4">
        <v>0</v>
      </c>
      <c r="D88" s="4">
        <v>0</v>
      </c>
      <c r="E88" s="4">
        <f t="shared" si="36"/>
        <v>0</v>
      </c>
      <c r="F88" s="4">
        <v>0</v>
      </c>
      <c r="G88" s="4">
        <v>0</v>
      </c>
      <c r="H88" s="4">
        <f t="shared" si="37"/>
        <v>0</v>
      </c>
      <c r="I88" s="4">
        <v>0</v>
      </c>
      <c r="J88" s="4">
        <v>0</v>
      </c>
      <c r="K88" s="4">
        <f t="shared" si="62"/>
        <v>0</v>
      </c>
      <c r="L88" s="4"/>
      <c r="M88" s="4"/>
      <c r="N88" s="4">
        <f t="shared" si="63"/>
        <v>0</v>
      </c>
      <c r="O88" s="4">
        <f>+'202501anual'!G129</f>
        <v>8000000</v>
      </c>
      <c r="P88" s="4">
        <v>0</v>
      </c>
      <c r="Q88" s="4">
        <f t="shared" si="64"/>
        <v>8000000</v>
      </c>
      <c r="R88" s="4">
        <f>+'202501anual'!H129</f>
        <v>0</v>
      </c>
      <c r="S88" s="4">
        <v>0</v>
      </c>
      <c r="T88" s="4">
        <f>+R88-S88</f>
        <v>0</v>
      </c>
      <c r="U88" s="4">
        <f>+'202501anual'!I129</f>
        <v>0</v>
      </c>
      <c r="V88" s="4">
        <v>0</v>
      </c>
      <c r="W88" s="4">
        <f t="shared" si="65"/>
        <v>0</v>
      </c>
      <c r="X88" s="78">
        <f t="shared" si="66"/>
        <v>0</v>
      </c>
      <c r="Y88" s="4">
        <v>0</v>
      </c>
      <c r="Z88" s="4">
        <f t="shared" si="67"/>
        <v>0</v>
      </c>
      <c r="AA88" s="4"/>
      <c r="AB88" s="4"/>
      <c r="AC88" s="4">
        <f t="shared" si="68"/>
        <v>0</v>
      </c>
      <c r="AD88" s="4"/>
      <c r="AE88" s="4"/>
      <c r="AF88" s="4">
        <f t="shared" si="44"/>
        <v>0</v>
      </c>
      <c r="AG88" s="4"/>
      <c r="AH88" s="4"/>
      <c r="AI88" s="4">
        <f t="shared" si="45"/>
        <v>0</v>
      </c>
      <c r="AJ88" s="4">
        <v>0</v>
      </c>
      <c r="AK88" s="4">
        <v>0</v>
      </c>
      <c r="AL88" s="4">
        <f t="shared" si="46"/>
        <v>0</v>
      </c>
      <c r="AM88" s="4">
        <f t="shared" si="78"/>
        <v>8000000</v>
      </c>
      <c r="AN88" s="4">
        <f t="shared" si="79"/>
        <v>0</v>
      </c>
      <c r="AO88" s="4">
        <f t="shared" si="80"/>
        <v>8000000</v>
      </c>
      <c r="AP88" s="43">
        <f t="shared" si="72"/>
        <v>100</v>
      </c>
      <c r="AQ88" s="34"/>
      <c r="AR88" s="38"/>
      <c r="AS88" s="2"/>
      <c r="AY88" s="2"/>
    </row>
    <row r="89" spans="1:52" x14ac:dyDescent="0.25">
      <c r="A89" s="5" t="str">
        <f>+'202501anual'!A130</f>
        <v>Vertimiento Acueducto, Tasa Retributiva</v>
      </c>
      <c r="B89" s="4">
        <v>8000000</v>
      </c>
      <c r="C89" s="4">
        <v>0</v>
      </c>
      <c r="D89" s="4">
        <v>0</v>
      </c>
      <c r="E89" s="4">
        <f t="shared" si="36"/>
        <v>0</v>
      </c>
      <c r="F89" s="4">
        <v>0</v>
      </c>
      <c r="G89" s="4">
        <v>0</v>
      </c>
      <c r="H89" s="4">
        <f t="shared" si="37"/>
        <v>0</v>
      </c>
      <c r="I89" s="4">
        <v>0</v>
      </c>
      <c r="J89" s="4">
        <v>0</v>
      </c>
      <c r="K89" s="4">
        <f t="shared" si="62"/>
        <v>0</v>
      </c>
      <c r="L89" s="4"/>
      <c r="M89" s="4"/>
      <c r="N89" s="4">
        <f t="shared" si="63"/>
        <v>0</v>
      </c>
      <c r="O89" s="4">
        <f>+'202501anual'!G130</f>
        <v>8000000</v>
      </c>
      <c r="P89" s="4">
        <v>0</v>
      </c>
      <c r="Q89" s="4">
        <f t="shared" si="64"/>
        <v>8000000</v>
      </c>
      <c r="R89" s="4">
        <f>+'202501anual'!H130</f>
        <v>0</v>
      </c>
      <c r="S89" s="4">
        <v>0</v>
      </c>
      <c r="T89" s="4">
        <f>+R89-S89</f>
        <v>0</v>
      </c>
      <c r="U89" s="4">
        <f>+'202501anual'!I130</f>
        <v>0</v>
      </c>
      <c r="V89" s="4">
        <v>0</v>
      </c>
      <c r="W89" s="4">
        <f t="shared" si="65"/>
        <v>0</v>
      </c>
      <c r="X89" s="78">
        <f t="shared" si="66"/>
        <v>0</v>
      </c>
      <c r="Y89" s="4">
        <v>0</v>
      </c>
      <c r="Z89" s="4">
        <f t="shared" si="67"/>
        <v>0</v>
      </c>
      <c r="AA89" s="4"/>
      <c r="AB89" s="4"/>
      <c r="AC89" s="4">
        <f t="shared" si="68"/>
        <v>0</v>
      </c>
      <c r="AD89" s="4"/>
      <c r="AE89" s="4"/>
      <c r="AF89" s="4">
        <f t="shared" si="44"/>
        <v>0</v>
      </c>
      <c r="AG89" s="4"/>
      <c r="AH89" s="4"/>
      <c r="AI89" s="4">
        <f t="shared" si="45"/>
        <v>0</v>
      </c>
      <c r="AJ89" s="4">
        <f>+'202501anual'!N131</f>
        <v>4000000</v>
      </c>
      <c r="AK89" s="4">
        <v>0</v>
      </c>
      <c r="AL89" s="4">
        <f t="shared" si="46"/>
        <v>4000000</v>
      </c>
      <c r="AM89" s="4">
        <f t="shared" si="78"/>
        <v>12000000</v>
      </c>
      <c r="AN89" s="4">
        <f t="shared" si="79"/>
        <v>0</v>
      </c>
      <c r="AO89" s="4">
        <f t="shared" si="80"/>
        <v>12000000</v>
      </c>
      <c r="AP89" s="43">
        <f t="shared" si="72"/>
        <v>100</v>
      </c>
      <c r="AQ89" s="34"/>
      <c r="AR89" s="38"/>
      <c r="AS89" s="2"/>
      <c r="AY89" s="2"/>
    </row>
    <row r="90" spans="1:52" hidden="1" x14ac:dyDescent="0.25">
      <c r="A90" s="5" t="str">
        <f>+'202501anual'!A131</f>
        <v>Vertimientos Alcantarillado, Tasa retributivas</v>
      </c>
      <c r="B90" s="4">
        <v>8000000</v>
      </c>
      <c r="C90" s="4">
        <v>0</v>
      </c>
      <c r="D90" s="4">
        <v>0</v>
      </c>
      <c r="E90" s="4">
        <f t="shared" si="36"/>
        <v>0</v>
      </c>
      <c r="F90" s="4">
        <v>0</v>
      </c>
      <c r="G90" s="4">
        <v>0</v>
      </c>
      <c r="H90" s="4">
        <f t="shared" si="37"/>
        <v>0</v>
      </c>
      <c r="I90" s="4">
        <v>0</v>
      </c>
      <c r="J90" s="4">
        <v>0</v>
      </c>
      <c r="K90" s="4">
        <f t="shared" si="62"/>
        <v>0</v>
      </c>
      <c r="L90" s="4"/>
      <c r="M90" s="4">
        <v>0</v>
      </c>
      <c r="N90" s="4">
        <f t="shared" si="63"/>
        <v>0</v>
      </c>
      <c r="O90" s="4"/>
      <c r="P90" s="4">
        <v>0</v>
      </c>
      <c r="Q90" s="4">
        <f t="shared" si="64"/>
        <v>0</v>
      </c>
      <c r="R90" s="4"/>
      <c r="S90" s="4"/>
      <c r="T90" s="4">
        <f t="shared" si="77"/>
        <v>0</v>
      </c>
      <c r="U90" s="4"/>
      <c r="V90" s="4">
        <v>0</v>
      </c>
      <c r="W90" s="4">
        <f t="shared" si="65"/>
        <v>0</v>
      </c>
      <c r="X90" s="78">
        <f t="shared" si="66"/>
        <v>0</v>
      </c>
      <c r="Y90" s="4"/>
      <c r="Z90" s="4">
        <f t="shared" si="67"/>
        <v>0</v>
      </c>
      <c r="AA90" s="4"/>
      <c r="AB90" s="4"/>
      <c r="AC90" s="4">
        <f t="shared" si="68"/>
        <v>0</v>
      </c>
      <c r="AD90" s="4"/>
      <c r="AE90" s="4"/>
      <c r="AF90" s="4">
        <f t="shared" si="44"/>
        <v>0</v>
      </c>
      <c r="AG90" s="4"/>
      <c r="AH90" s="4"/>
      <c r="AI90" s="4">
        <f t="shared" si="45"/>
        <v>0</v>
      </c>
      <c r="AJ90" s="4"/>
      <c r="AK90" s="4">
        <v>0</v>
      </c>
      <c r="AL90" s="4">
        <f t="shared" si="46"/>
        <v>0</v>
      </c>
      <c r="AM90" s="4">
        <f t="shared" si="78"/>
        <v>0</v>
      </c>
      <c r="AN90" s="4">
        <f t="shared" si="79"/>
        <v>0</v>
      </c>
      <c r="AO90" s="4">
        <f t="shared" si="80"/>
        <v>0</v>
      </c>
      <c r="AP90" s="43" t="e">
        <f t="shared" si="72"/>
        <v>#DIV/0!</v>
      </c>
      <c r="AQ90" s="34"/>
      <c r="AR90" s="38"/>
      <c r="AS90" s="2"/>
      <c r="AY90" s="2"/>
    </row>
    <row r="91" spans="1:52" x14ac:dyDescent="0.25">
      <c r="A91" s="5" t="s">
        <v>181</v>
      </c>
      <c r="B91" s="4">
        <v>700000000</v>
      </c>
      <c r="C91" s="4">
        <v>0</v>
      </c>
      <c r="D91" s="4">
        <v>0</v>
      </c>
      <c r="E91" s="4">
        <f t="shared" si="36"/>
        <v>0</v>
      </c>
      <c r="F91" s="4">
        <v>0</v>
      </c>
      <c r="G91" s="4">
        <v>0</v>
      </c>
      <c r="H91" s="4">
        <f t="shared" si="37"/>
        <v>0</v>
      </c>
      <c r="I91" s="4">
        <v>0</v>
      </c>
      <c r="J91" s="4">
        <v>0</v>
      </c>
      <c r="K91" s="4">
        <f t="shared" si="62"/>
        <v>0</v>
      </c>
      <c r="L91" s="4"/>
      <c r="M91" s="4">
        <v>0</v>
      </c>
      <c r="N91" s="4">
        <f t="shared" si="63"/>
        <v>0</v>
      </c>
      <c r="O91" s="4"/>
      <c r="P91" s="4">
        <v>0</v>
      </c>
      <c r="Q91" s="4">
        <f t="shared" si="64"/>
        <v>0</v>
      </c>
      <c r="R91" s="4"/>
      <c r="S91" s="4">
        <v>0</v>
      </c>
      <c r="T91" s="4">
        <f t="shared" si="77"/>
        <v>0</v>
      </c>
      <c r="U91" s="4"/>
      <c r="V91" s="4">
        <v>0</v>
      </c>
      <c r="W91" s="4">
        <f t="shared" si="65"/>
        <v>0</v>
      </c>
      <c r="X91" s="78">
        <f t="shared" si="66"/>
        <v>0</v>
      </c>
      <c r="Y91" s="4"/>
      <c r="Z91" s="4">
        <f t="shared" si="67"/>
        <v>0</v>
      </c>
      <c r="AA91" s="4">
        <f>+'202501anual'!K132</f>
        <v>350000000</v>
      </c>
      <c r="AB91" s="4"/>
      <c r="AC91" s="4">
        <f t="shared" si="68"/>
        <v>350000000</v>
      </c>
      <c r="AD91" s="4">
        <f>+'202501anual'!L132</f>
        <v>0</v>
      </c>
      <c r="AE91" s="4"/>
      <c r="AF91" s="4">
        <f t="shared" si="44"/>
        <v>0</v>
      </c>
      <c r="AG91" s="4">
        <f>+'202501anual'!M132</f>
        <v>350000000</v>
      </c>
      <c r="AH91" s="4">
        <f>+'202501anual'!R132</f>
        <v>0</v>
      </c>
      <c r="AI91" s="4">
        <f t="shared" si="45"/>
        <v>350000000</v>
      </c>
      <c r="AJ91" s="4">
        <f>+'202501anual'!N132</f>
        <v>0</v>
      </c>
      <c r="AK91" s="4">
        <v>0</v>
      </c>
      <c r="AL91" s="4">
        <f t="shared" si="46"/>
        <v>0</v>
      </c>
      <c r="AM91" s="4">
        <f t="shared" si="78"/>
        <v>700000000</v>
      </c>
      <c r="AN91" s="4">
        <f t="shared" si="79"/>
        <v>0</v>
      </c>
      <c r="AO91" s="4">
        <f t="shared" si="80"/>
        <v>700000000</v>
      </c>
      <c r="AP91" s="29">
        <f>+AO91/AM91*100</f>
        <v>100</v>
      </c>
      <c r="AQ91" s="34"/>
      <c r="AR91" s="38"/>
      <c r="AS91" s="96"/>
      <c r="AY91" s="2"/>
    </row>
    <row r="92" spans="1:52" x14ac:dyDescent="0.25">
      <c r="A92" s="5" t="str">
        <f>+'202501anual'!A133</f>
        <v>Compra de activador biologico</v>
      </c>
      <c r="B92" s="4">
        <v>0</v>
      </c>
      <c r="C92" s="4">
        <v>0</v>
      </c>
      <c r="D92" s="4">
        <v>0</v>
      </c>
      <c r="E92" s="4">
        <f t="shared" si="36"/>
        <v>0</v>
      </c>
      <c r="F92" s="76"/>
      <c r="G92" s="4">
        <v>0</v>
      </c>
      <c r="H92" s="4">
        <f t="shared" si="37"/>
        <v>0</v>
      </c>
      <c r="I92" s="4">
        <f>+'202501anual'!E133</f>
        <v>2400000</v>
      </c>
      <c r="J92" s="4">
        <v>0</v>
      </c>
      <c r="K92" s="4">
        <f t="shared" si="62"/>
        <v>2400000</v>
      </c>
      <c r="L92" s="4"/>
      <c r="M92" s="4"/>
      <c r="N92" s="4">
        <f t="shared" si="63"/>
        <v>0</v>
      </c>
      <c r="O92" s="4">
        <f>+'202501anual'!G133</f>
        <v>2000000</v>
      </c>
      <c r="P92" s="4">
        <v>0</v>
      </c>
      <c r="Q92" s="4">
        <f t="shared" si="64"/>
        <v>2000000</v>
      </c>
      <c r="R92" s="4">
        <f>+'202501anual'!H133</f>
        <v>2000000</v>
      </c>
      <c r="S92" s="4">
        <v>0</v>
      </c>
      <c r="T92" s="4">
        <f>+R92-S92</f>
        <v>2000000</v>
      </c>
      <c r="U92" s="4">
        <f>+'202501anual'!I133</f>
        <v>2000000</v>
      </c>
      <c r="V92" s="4">
        <v>0</v>
      </c>
      <c r="W92" s="4">
        <f t="shared" si="65"/>
        <v>2000000</v>
      </c>
      <c r="X92" s="145">
        <f t="shared" si="66"/>
        <v>2000000</v>
      </c>
      <c r="Y92" s="4">
        <v>0</v>
      </c>
      <c r="Z92" s="4">
        <f t="shared" si="67"/>
        <v>2000000</v>
      </c>
      <c r="AA92" s="4">
        <f>+'202501anual'!K133</f>
        <v>1600000</v>
      </c>
      <c r="AB92" s="4"/>
      <c r="AC92" s="4">
        <f t="shared" si="68"/>
        <v>1600000</v>
      </c>
      <c r="AD92" s="4">
        <f>+'202501anual'!L133</f>
        <v>0</v>
      </c>
      <c r="AE92" s="4"/>
      <c r="AF92" s="4">
        <f t="shared" si="44"/>
        <v>0</v>
      </c>
      <c r="AG92" s="4"/>
      <c r="AH92" s="4"/>
      <c r="AI92" s="4">
        <f t="shared" si="45"/>
        <v>0</v>
      </c>
      <c r="AJ92" s="4">
        <v>0</v>
      </c>
      <c r="AK92" s="4">
        <v>0</v>
      </c>
      <c r="AL92" s="4">
        <f t="shared" si="46"/>
        <v>0</v>
      </c>
      <c r="AM92" s="4">
        <f t="shared" si="78"/>
        <v>12000000</v>
      </c>
      <c r="AN92" s="4">
        <f t="shared" si="79"/>
        <v>0</v>
      </c>
      <c r="AO92" s="4">
        <f t="shared" si="80"/>
        <v>12000000</v>
      </c>
      <c r="AP92" s="43">
        <f t="shared" ref="AP92" si="81">+AO92/AM92*100</f>
        <v>100</v>
      </c>
      <c r="AQ92" s="34"/>
      <c r="AR92" s="38"/>
      <c r="AS92" s="96"/>
      <c r="AY92" s="2"/>
    </row>
    <row r="93" spans="1:52" x14ac:dyDescent="0.25">
      <c r="A93" s="12" t="s">
        <v>172</v>
      </c>
      <c r="B93" s="8">
        <f t="shared" ref="B93:AO93" si="82">SUM(B86:B92)</f>
        <v>740000000</v>
      </c>
      <c r="C93" s="8">
        <f t="shared" si="82"/>
        <v>0</v>
      </c>
      <c r="D93" s="8">
        <f t="shared" si="82"/>
        <v>0</v>
      </c>
      <c r="E93" s="8">
        <f t="shared" si="82"/>
        <v>0</v>
      </c>
      <c r="F93" s="8">
        <f t="shared" si="82"/>
        <v>0</v>
      </c>
      <c r="G93" s="8">
        <f t="shared" si="82"/>
        <v>0</v>
      </c>
      <c r="H93" s="8">
        <f t="shared" si="82"/>
        <v>0</v>
      </c>
      <c r="I93" s="8">
        <f t="shared" si="82"/>
        <v>2400000</v>
      </c>
      <c r="J93" s="8">
        <f t="shared" si="82"/>
        <v>0</v>
      </c>
      <c r="K93" s="8">
        <f t="shared" si="82"/>
        <v>2400000</v>
      </c>
      <c r="L93" s="8">
        <f t="shared" si="82"/>
        <v>0</v>
      </c>
      <c r="M93" s="8">
        <f t="shared" si="82"/>
        <v>0</v>
      </c>
      <c r="N93" s="8">
        <f t="shared" si="82"/>
        <v>0</v>
      </c>
      <c r="O93" s="8">
        <f t="shared" si="82"/>
        <v>26000000</v>
      </c>
      <c r="P93" s="8">
        <f t="shared" si="82"/>
        <v>0</v>
      </c>
      <c r="Q93" s="8">
        <f t="shared" si="82"/>
        <v>26000000</v>
      </c>
      <c r="R93" s="8">
        <f t="shared" si="82"/>
        <v>2000000</v>
      </c>
      <c r="S93" s="8">
        <f t="shared" si="82"/>
        <v>0</v>
      </c>
      <c r="T93" s="8">
        <f t="shared" si="82"/>
        <v>2000000</v>
      </c>
      <c r="U93" s="8">
        <f t="shared" si="82"/>
        <v>6000000</v>
      </c>
      <c r="V93" s="8">
        <f t="shared" si="82"/>
        <v>0</v>
      </c>
      <c r="W93" s="8">
        <f t="shared" si="82"/>
        <v>6000000</v>
      </c>
      <c r="X93" s="8">
        <f t="shared" si="82"/>
        <v>2000000</v>
      </c>
      <c r="Y93" s="8">
        <f t="shared" si="82"/>
        <v>0</v>
      </c>
      <c r="Z93" s="8">
        <f t="shared" si="82"/>
        <v>2000000</v>
      </c>
      <c r="AA93" s="8">
        <f t="shared" si="82"/>
        <v>351600000</v>
      </c>
      <c r="AB93" s="8">
        <f t="shared" si="82"/>
        <v>0</v>
      </c>
      <c r="AC93" s="8">
        <f t="shared" si="82"/>
        <v>351600000</v>
      </c>
      <c r="AD93" s="8">
        <f>SUM(AD86:AD92)</f>
        <v>0</v>
      </c>
      <c r="AE93" s="8">
        <f t="shared" si="82"/>
        <v>0</v>
      </c>
      <c r="AF93" s="8">
        <f t="shared" si="82"/>
        <v>0</v>
      </c>
      <c r="AG93" s="8">
        <f t="shared" si="82"/>
        <v>350000000</v>
      </c>
      <c r="AH93" s="8">
        <f t="shared" si="82"/>
        <v>0</v>
      </c>
      <c r="AI93" s="8">
        <f t="shared" si="82"/>
        <v>350000000</v>
      </c>
      <c r="AJ93" s="8">
        <f t="shared" si="82"/>
        <v>4000000</v>
      </c>
      <c r="AK93" s="8">
        <f t="shared" si="82"/>
        <v>0</v>
      </c>
      <c r="AL93" s="8">
        <f t="shared" si="82"/>
        <v>4000000</v>
      </c>
      <c r="AM93" s="8">
        <f t="shared" si="82"/>
        <v>744000000</v>
      </c>
      <c r="AN93" s="8">
        <f t="shared" si="82"/>
        <v>0</v>
      </c>
      <c r="AO93" s="8">
        <f t="shared" si="82"/>
        <v>744000000</v>
      </c>
      <c r="AP93" s="31">
        <f>+AO93/AM93</f>
        <v>1</v>
      </c>
      <c r="AQ93" s="34"/>
      <c r="AR93" s="50"/>
      <c r="AS93" s="2"/>
      <c r="AY93" s="2"/>
    </row>
    <row r="94" spans="1:52" x14ac:dyDescent="0.25">
      <c r="A94" s="12" t="s">
        <v>173</v>
      </c>
      <c r="B94" s="8">
        <f t="shared" ref="B94:AO94" si="83">+B93+B85+B50</f>
        <v>3789482500.3661299</v>
      </c>
      <c r="C94" s="8">
        <f t="shared" si="83"/>
        <v>261958028.94717753</v>
      </c>
      <c r="D94" s="8">
        <f t="shared" si="83"/>
        <v>97202970</v>
      </c>
      <c r="E94" s="8">
        <f t="shared" si="83"/>
        <v>164755058.9471775</v>
      </c>
      <c r="F94" s="8">
        <f t="shared" si="83"/>
        <v>401065126.86384416</v>
      </c>
      <c r="G94" s="8">
        <f t="shared" si="83"/>
        <v>167346871</v>
      </c>
      <c r="H94" s="8">
        <f t="shared" si="83"/>
        <v>233718255.86384416</v>
      </c>
      <c r="I94" s="8">
        <f t="shared" si="83"/>
        <v>266895126.86384416</v>
      </c>
      <c r="J94" s="8">
        <f t="shared" si="83"/>
        <v>136518583.72</v>
      </c>
      <c r="K94" s="8">
        <f t="shared" si="83"/>
        <v>130376543.14384416</v>
      </c>
      <c r="L94" s="8">
        <f t="shared" si="83"/>
        <v>333315126.86384416</v>
      </c>
      <c r="M94" s="8">
        <f t="shared" si="83"/>
        <v>156806750.28</v>
      </c>
      <c r="N94" s="8">
        <f t="shared" si="83"/>
        <v>176508376.58384416</v>
      </c>
      <c r="O94" s="8">
        <f t="shared" si="83"/>
        <v>443865126.86384416</v>
      </c>
      <c r="P94" s="8">
        <f t="shared" si="83"/>
        <v>149356903.28</v>
      </c>
      <c r="Q94" s="8">
        <f t="shared" si="83"/>
        <v>294508223.58384418</v>
      </c>
      <c r="R94" s="8">
        <f t="shared" si="83"/>
        <v>405965126.86384416</v>
      </c>
      <c r="S94" s="8">
        <f t="shared" si="83"/>
        <v>188987734.28</v>
      </c>
      <c r="T94" s="8">
        <f t="shared" si="83"/>
        <v>216977392.58384416</v>
      </c>
      <c r="U94" s="8">
        <f t="shared" si="83"/>
        <v>246861085.86384416</v>
      </c>
      <c r="V94" s="8">
        <f t="shared" si="83"/>
        <v>236497367</v>
      </c>
      <c r="W94" s="8">
        <f t="shared" si="83"/>
        <v>10363718.863844164</v>
      </c>
      <c r="X94" s="8">
        <f t="shared" si="83"/>
        <v>245065126.86384416</v>
      </c>
      <c r="Y94" s="8">
        <f t="shared" si="83"/>
        <v>139405248</v>
      </c>
      <c r="Z94" s="8">
        <f t="shared" si="83"/>
        <v>105659878.86384417</v>
      </c>
      <c r="AA94" s="8">
        <f t="shared" si="83"/>
        <v>528615126.86384416</v>
      </c>
      <c r="AB94" s="8">
        <f t="shared" si="83"/>
        <v>231514135.65000001</v>
      </c>
      <c r="AC94" s="8">
        <f t="shared" si="83"/>
        <v>297100991.21384412</v>
      </c>
      <c r="AD94" s="8">
        <f>+AD93+AD85+AD50</f>
        <v>189315126.86384416</v>
      </c>
      <c r="AE94" s="8">
        <f t="shared" si="83"/>
        <v>136364013</v>
      </c>
      <c r="AF94" s="8">
        <f t="shared" si="83"/>
        <v>52951113.863844164</v>
      </c>
      <c r="AG94" s="8">
        <f>+AG93+AG85+AG50</f>
        <v>544415126.86384416</v>
      </c>
      <c r="AH94" s="8">
        <f t="shared" si="83"/>
        <v>60995311</v>
      </c>
      <c r="AI94" s="8">
        <f t="shared" si="83"/>
        <v>483419815.86384416</v>
      </c>
      <c r="AJ94" s="8">
        <f t="shared" si="83"/>
        <v>204065126.86384416</v>
      </c>
      <c r="AK94" s="8">
        <f t="shared" si="83"/>
        <v>184237852.35733604</v>
      </c>
      <c r="AL94" s="8">
        <f t="shared" si="83"/>
        <v>19827274.506508112</v>
      </c>
      <c r="AM94" s="8">
        <f t="shared" si="83"/>
        <v>4071400383.4494629</v>
      </c>
      <c r="AN94" s="8">
        <f t="shared" si="83"/>
        <v>1885233739.5673361</v>
      </c>
      <c r="AO94" s="8">
        <f t="shared" si="83"/>
        <v>2186166643.8821268</v>
      </c>
      <c r="AP94" s="31">
        <f>+AO94/AM94</f>
        <v>0.53695692832595199</v>
      </c>
      <c r="AQ94" s="34"/>
      <c r="AR94" s="50">
        <f>AL94/AJ94</f>
        <v>9.7161503345631506E-2</v>
      </c>
      <c r="AS94" s="2"/>
      <c r="AY94" s="2"/>
    </row>
    <row r="95" spans="1:52" s="1" customFormat="1" x14ac:dyDescent="0.25">
      <c r="A95" s="12" t="s">
        <v>62</v>
      </c>
      <c r="B95" s="15">
        <f t="shared" ref="B95:AO95" si="84">+B94+B36+B28</f>
        <v>8532749985.8525181</v>
      </c>
      <c r="C95" s="15">
        <f t="shared" si="84"/>
        <v>489559252.40437692</v>
      </c>
      <c r="D95" s="15">
        <f t="shared" si="84"/>
        <v>311413266</v>
      </c>
      <c r="E95" s="15">
        <f t="shared" si="84"/>
        <v>178145986.40437692</v>
      </c>
      <c r="F95" s="15">
        <f t="shared" si="84"/>
        <v>684832252.22295713</v>
      </c>
      <c r="G95" s="15">
        <f t="shared" si="84"/>
        <v>555649645</v>
      </c>
      <c r="H95" s="15">
        <f t="shared" si="84"/>
        <v>129182607.22295721</v>
      </c>
      <c r="I95" s="15">
        <f t="shared" si="84"/>
        <v>607062252.22295713</v>
      </c>
      <c r="J95" s="15">
        <f t="shared" si="84"/>
        <v>339584028.72000003</v>
      </c>
      <c r="K95" s="15">
        <f t="shared" si="84"/>
        <v>267478223.50295722</v>
      </c>
      <c r="L95" s="15">
        <f t="shared" si="84"/>
        <v>686782252.22295713</v>
      </c>
      <c r="M95" s="15">
        <f t="shared" si="84"/>
        <v>631910828.93000007</v>
      </c>
      <c r="N95" s="15">
        <f t="shared" si="84"/>
        <v>54871423.292957202</v>
      </c>
      <c r="O95" s="15">
        <f t="shared" si="84"/>
        <v>942832252.22295713</v>
      </c>
      <c r="P95" s="15">
        <f t="shared" si="84"/>
        <v>470441364.27999997</v>
      </c>
      <c r="Q95" s="15">
        <f t="shared" si="84"/>
        <v>472390887.94295722</v>
      </c>
      <c r="R95" s="15">
        <f t="shared" si="84"/>
        <v>848932252.22295713</v>
      </c>
      <c r="S95" s="15">
        <f t="shared" si="84"/>
        <v>438583259.27999997</v>
      </c>
      <c r="T95" s="15">
        <f t="shared" si="84"/>
        <v>410348992.94295722</v>
      </c>
      <c r="U95" s="15">
        <f t="shared" si="84"/>
        <v>688888211.22295713</v>
      </c>
      <c r="V95" s="15">
        <f t="shared" si="84"/>
        <v>470704206.34000003</v>
      </c>
      <c r="W95" s="15">
        <f t="shared" si="84"/>
        <v>218184004.88295722</v>
      </c>
      <c r="X95" s="15">
        <f t="shared" si="84"/>
        <v>649742252.22295713</v>
      </c>
      <c r="Y95" s="15">
        <f t="shared" si="84"/>
        <v>429583100</v>
      </c>
      <c r="Z95" s="15">
        <f t="shared" si="84"/>
        <v>220159152.22295725</v>
      </c>
      <c r="AA95" s="15">
        <f t="shared" si="84"/>
        <v>878292252.22295713</v>
      </c>
      <c r="AB95" s="15">
        <f t="shared" si="84"/>
        <v>514143501.26999998</v>
      </c>
      <c r="AC95" s="15">
        <f t="shared" si="84"/>
        <v>364148750.95295721</v>
      </c>
      <c r="AD95" s="15">
        <f>+AD94+AD36+AD28</f>
        <v>585492252.22295713</v>
      </c>
      <c r="AE95" s="15">
        <f t="shared" si="84"/>
        <v>457418080</v>
      </c>
      <c r="AF95" s="15">
        <f t="shared" si="84"/>
        <v>128074172.22295721</v>
      </c>
      <c r="AG95" s="15">
        <f t="shared" si="84"/>
        <v>886592252.22295713</v>
      </c>
      <c r="AH95" s="15">
        <f t="shared" si="84"/>
        <v>365117900</v>
      </c>
      <c r="AI95" s="15">
        <f t="shared" si="84"/>
        <v>521474352.22295719</v>
      </c>
      <c r="AJ95" s="15">
        <f t="shared" si="84"/>
        <v>583742252.22295713</v>
      </c>
      <c r="AK95" s="15">
        <f t="shared" si="84"/>
        <v>391897009.40733606</v>
      </c>
      <c r="AL95" s="15">
        <f t="shared" si="84"/>
        <v>191845242.81562117</v>
      </c>
      <c r="AM95" s="15">
        <f t="shared" si="84"/>
        <v>8532749985.8569059</v>
      </c>
      <c r="AN95" s="15">
        <f t="shared" si="84"/>
        <v>5376446189.2273359</v>
      </c>
      <c r="AO95" s="15">
        <f t="shared" si="84"/>
        <v>3156303796.62957</v>
      </c>
      <c r="AP95" s="31">
        <f>+AO95/AM95</f>
        <v>0.36990463823048442</v>
      </c>
      <c r="AQ95" s="34"/>
      <c r="AR95" s="50">
        <f>AL95/AJ95</f>
        <v>0.32864717618958122</v>
      </c>
      <c r="AS95" s="24"/>
      <c r="AT95" s="82"/>
      <c r="AX95" s="74"/>
      <c r="AY95" s="2"/>
      <c r="AZ95" s="108"/>
    </row>
    <row r="96" spans="1:52" ht="19.5" thickBot="1" x14ac:dyDescent="0.3">
      <c r="A96" s="13" t="s">
        <v>0</v>
      </c>
      <c r="B96" s="9">
        <f t="shared" ref="B96:AO96" si="85">+B16-B95</f>
        <v>-0.16156959533691406</v>
      </c>
      <c r="C96" s="9">
        <f t="shared" si="85"/>
        <v>-296328011.18013126</v>
      </c>
      <c r="D96" s="9">
        <f t="shared" si="85"/>
        <v>1049048912.79</v>
      </c>
      <c r="E96" s="9">
        <f t="shared" si="85"/>
        <v>-1345376923.9701314</v>
      </c>
      <c r="F96" s="9">
        <f t="shared" si="85"/>
        <v>-491601010.99871147</v>
      </c>
      <c r="G96" s="9">
        <f t="shared" si="85"/>
        <v>-441918551.14999998</v>
      </c>
      <c r="H96" s="9">
        <f t="shared" si="85"/>
        <v>-49682459.848711565</v>
      </c>
      <c r="I96" s="9">
        <f t="shared" si="85"/>
        <v>3844364948.0012889</v>
      </c>
      <c r="J96" s="9">
        <f t="shared" si="85"/>
        <v>-75057349.150000036</v>
      </c>
      <c r="K96" s="9">
        <f t="shared" si="85"/>
        <v>3919422297.1512885</v>
      </c>
      <c r="L96" s="9">
        <f t="shared" si="85"/>
        <v>-488051010.99871147</v>
      </c>
      <c r="M96" s="9">
        <f t="shared" si="85"/>
        <v>-500370793.95000005</v>
      </c>
      <c r="N96" s="9">
        <f t="shared" si="85"/>
        <v>12319782.951288447</v>
      </c>
      <c r="O96" s="9">
        <f t="shared" si="85"/>
        <v>-744101010.99871147</v>
      </c>
      <c r="P96" s="9">
        <f t="shared" si="85"/>
        <v>-210262278.66</v>
      </c>
      <c r="Q96" s="9">
        <f t="shared" si="85"/>
        <v>-533838732.33871156</v>
      </c>
      <c r="R96" s="9">
        <f t="shared" si="85"/>
        <v>-650201010.99871147</v>
      </c>
      <c r="S96" s="9">
        <f t="shared" si="85"/>
        <v>-263713819.67999998</v>
      </c>
      <c r="T96" s="9">
        <f t="shared" si="85"/>
        <v>-386487191.31871158</v>
      </c>
      <c r="U96" s="9">
        <f t="shared" si="85"/>
        <v>-490156969.99871147</v>
      </c>
      <c r="V96" s="9">
        <f t="shared" si="85"/>
        <v>-270031339.61000001</v>
      </c>
      <c r="W96" s="9">
        <f t="shared" si="85"/>
        <v>-220125630.38871154</v>
      </c>
      <c r="X96" s="9">
        <f t="shared" si="85"/>
        <v>1455268120.9512887</v>
      </c>
      <c r="Y96" s="9">
        <f t="shared" si="85"/>
        <v>-311617710.25999999</v>
      </c>
      <c r="Z96" s="9">
        <f t="shared" si="85"/>
        <v>1766885831.2112885</v>
      </c>
      <c r="AA96" s="9">
        <f t="shared" si="85"/>
        <v>-679561010.99871147</v>
      </c>
      <c r="AB96" s="9">
        <f t="shared" si="85"/>
        <v>-208310359.72999996</v>
      </c>
      <c r="AC96" s="9">
        <f t="shared" si="85"/>
        <v>-471250651.26871157</v>
      </c>
      <c r="AD96" s="9">
        <f>+AD16-AD95</f>
        <v>-386761010.99871147</v>
      </c>
      <c r="AE96" s="9">
        <f t="shared" si="85"/>
        <v>1979141028.04</v>
      </c>
      <c r="AF96" s="9">
        <f t="shared" si="85"/>
        <v>-2365902039.0387115</v>
      </c>
      <c r="AG96" s="9">
        <f t="shared" si="85"/>
        <v>-687861010.99871147</v>
      </c>
      <c r="AH96" s="9">
        <f t="shared" si="85"/>
        <v>-135158929.78999999</v>
      </c>
      <c r="AI96" s="9">
        <f t="shared" si="85"/>
        <v>-552702081.2087115</v>
      </c>
      <c r="AJ96" s="9">
        <f t="shared" si="85"/>
        <v>-385011010.99871147</v>
      </c>
      <c r="AK96" s="9">
        <f t="shared" si="85"/>
        <v>-280603324.55733609</v>
      </c>
      <c r="AL96" s="9">
        <f t="shared" si="85"/>
        <v>-104407686.44137551</v>
      </c>
      <c r="AM96" s="9">
        <f t="shared" si="85"/>
        <v>-0.21595859527587891</v>
      </c>
      <c r="AN96" s="9">
        <f t="shared" si="85"/>
        <v>331145484.29266357</v>
      </c>
      <c r="AO96" s="9">
        <f t="shared" si="85"/>
        <v>-331145484.50862217</v>
      </c>
      <c r="AP96" s="32">
        <f>+AO96/AM96</f>
        <v>1533374877.1869736</v>
      </c>
      <c r="AQ96" s="34"/>
      <c r="AR96" s="50"/>
      <c r="AS96" s="2"/>
      <c r="AY96" s="2"/>
      <c r="AZ96" s="53"/>
    </row>
    <row r="97" spans="2:51" x14ac:dyDescent="0.25">
      <c r="B97" s="2"/>
      <c r="C97" s="3"/>
      <c r="D97" s="2"/>
      <c r="F97" s="2"/>
      <c r="G97" s="40"/>
      <c r="H97" s="40"/>
      <c r="I97" s="2"/>
      <c r="J97" s="2"/>
      <c r="K97" s="2"/>
      <c r="L97" s="2"/>
      <c r="O97" s="2"/>
      <c r="P97" s="2"/>
      <c r="R97" s="2"/>
      <c r="S97" s="2"/>
      <c r="T97" s="2"/>
      <c r="U97" s="2"/>
      <c r="V97" s="2"/>
      <c r="X97" s="2"/>
      <c r="Y97" s="2"/>
      <c r="AA97" s="2"/>
      <c r="AB97" s="2"/>
      <c r="AC97" s="2"/>
      <c r="AD97" s="2"/>
      <c r="AE97" s="2"/>
      <c r="AF97" s="2"/>
      <c r="AG97" s="2"/>
      <c r="AH97" s="2"/>
      <c r="AI97" s="2"/>
      <c r="AM97" s="2"/>
      <c r="AO97" s="24"/>
      <c r="AQ97" s="34"/>
      <c r="AR97" s="50"/>
      <c r="AS97" s="2"/>
      <c r="AY97" s="2"/>
    </row>
    <row r="98" spans="2:51" hidden="1" x14ac:dyDescent="0.25">
      <c r="B98" s="2"/>
      <c r="C98" s="2"/>
      <c r="D98" s="2"/>
      <c r="F98" s="2"/>
      <c r="G98" s="40"/>
      <c r="H98" s="40"/>
      <c r="I98" s="2"/>
      <c r="J98" s="2"/>
      <c r="K98" s="2"/>
      <c r="L98" s="2"/>
      <c r="O98" s="2"/>
      <c r="R98" s="2"/>
      <c r="S98" s="2"/>
      <c r="T98" s="2"/>
      <c r="U98" s="2"/>
      <c r="V98" s="2"/>
      <c r="X98" s="2"/>
      <c r="Y98" s="2"/>
      <c r="AA98" s="2"/>
      <c r="AB98" s="2"/>
      <c r="AC98" s="2"/>
      <c r="AD98" s="2"/>
      <c r="AE98" s="2"/>
      <c r="AF98" s="2"/>
      <c r="AG98" s="2"/>
      <c r="AH98" s="2"/>
      <c r="AI98" s="2"/>
      <c r="AM98" s="2"/>
      <c r="AN98" s="2"/>
      <c r="AO98" s="24"/>
      <c r="AQ98" s="34"/>
      <c r="AR98" s="50"/>
      <c r="AS98" s="2"/>
      <c r="AY98" s="2"/>
    </row>
    <row r="99" spans="2:51" ht="15.75" hidden="1" customHeight="1" x14ac:dyDescent="0.25">
      <c r="C99" s="2"/>
      <c r="F99" s="3"/>
      <c r="G99" s="35"/>
      <c r="H99" s="35"/>
      <c r="I99" s="2"/>
      <c r="J99" s="2"/>
      <c r="K99" s="2"/>
      <c r="L99" s="2"/>
      <c r="O99" s="2">
        <f>+O95-'[8]Planeación 2025 P&amp;K (def Mod1)'!$M$160</f>
        <v>2.86865234375E-3</v>
      </c>
      <c r="P99" s="24"/>
      <c r="R99" s="2">
        <f>+R95-'[8]Planeación 2025 P&amp;K (def Mod1)'!$N$160</f>
        <v>2.86865234375E-3</v>
      </c>
      <c r="S99" s="2"/>
      <c r="T99" s="2"/>
      <c r="U99" s="2">
        <f>+U95-'[8]Planeación 2025 P&amp;K (def Mod1)'!$O$160</f>
        <v>2.86865234375E-3</v>
      </c>
      <c r="V99" s="2"/>
      <c r="X99" s="2"/>
      <c r="Y99" s="2"/>
      <c r="Z99" s="2"/>
      <c r="AA99" s="2"/>
      <c r="AL99" s="2">
        <f>+C95+F95+I95+L95+O95+R95+U95+X95+AA95+AD95+AG95+AJ95</f>
        <v>8532749985.8569069</v>
      </c>
      <c r="AM99" s="2">
        <f>+C95+F95+I95+L95+O95+R95+U95+X95+AA95+AD95+AG95+AJ95</f>
        <v>8532749985.8569069</v>
      </c>
      <c r="AN99" s="2">
        <f>+D95+G95+J95+M95+P95+S95+V95+Y95+AB95+AE95+AH95+AK95</f>
        <v>5376446189.2273359</v>
      </c>
      <c r="AO99" s="2">
        <f>+E95+H95+K95+N95+Q95+T95+W95+Z95+AC95+AF95+AI95+AL95</f>
        <v>3156303796.62957</v>
      </c>
      <c r="AQ99" s="34"/>
      <c r="AR99" s="2"/>
      <c r="AS99" s="2"/>
      <c r="AT99" s="20"/>
      <c r="AU99" s="2"/>
      <c r="AY99" s="2"/>
    </row>
    <row r="100" spans="2:51" hidden="1" x14ac:dyDescent="0.25">
      <c r="B100" s="2"/>
      <c r="C100" s="2"/>
      <c r="F100" s="2"/>
      <c r="G100" s="2"/>
      <c r="I100" s="2"/>
      <c r="J100" s="2"/>
      <c r="K100" s="2"/>
      <c r="O100" s="2"/>
      <c r="Q100" s="2"/>
      <c r="R100" s="2"/>
      <c r="S100" s="2"/>
      <c r="T100" s="2"/>
      <c r="U100" s="2"/>
      <c r="V100" s="2"/>
      <c r="X100" s="2"/>
      <c r="Y100" s="2"/>
      <c r="Z100" s="2"/>
      <c r="AL100" s="2">
        <f>+'[8]Planeación 2025 P&amp;K (def Mod1)'!$F$160</f>
        <v>8532749985.6410627</v>
      </c>
      <c r="AM100" s="2">
        <f>+AM99-AM95</f>
        <v>0</v>
      </c>
      <c r="AN100" s="2">
        <f>+AN99-AN95</f>
        <v>0</v>
      </c>
      <c r="AO100" s="2">
        <f>+AO99-AO95</f>
        <v>0</v>
      </c>
      <c r="AQ100" s="34"/>
      <c r="AR100" s="47"/>
      <c r="AS100" s="2"/>
      <c r="AT100" s="20"/>
      <c r="AU100" s="2"/>
      <c r="AY100" s="2"/>
    </row>
    <row r="101" spans="2:51" hidden="1" x14ac:dyDescent="0.25">
      <c r="B101" s="2"/>
      <c r="C101" s="2"/>
      <c r="F101" s="2"/>
      <c r="I101" s="2"/>
      <c r="L101" s="2"/>
      <c r="O101" s="2"/>
      <c r="R101" s="2"/>
      <c r="U101" s="2">
        <f>+U96-'202501anual'!I149</f>
        <v>0</v>
      </c>
      <c r="X101" s="2"/>
      <c r="Y101" s="2"/>
      <c r="Z101" s="2"/>
      <c r="AA101" s="2"/>
      <c r="AD101" s="2"/>
      <c r="AG101" s="2"/>
      <c r="AL101" s="2">
        <f>+AL100-AL99</f>
        <v>-0.21584415435791016</v>
      </c>
      <c r="AM101" s="2"/>
      <c r="AN101" s="2"/>
      <c r="AO101" s="3"/>
      <c r="AQ101" s="34"/>
      <c r="AR101" s="2"/>
      <c r="AS101" s="2"/>
      <c r="AT101" s="20"/>
      <c r="AY101" s="2"/>
    </row>
    <row r="102" spans="2:51" hidden="1" x14ac:dyDescent="0.25">
      <c r="B102" s="2"/>
      <c r="O102" s="3"/>
      <c r="U102" s="2"/>
      <c r="X102" s="2"/>
      <c r="Y102" s="2"/>
      <c r="Z102" s="2"/>
      <c r="AD102" s="2"/>
      <c r="AM102" s="2"/>
      <c r="AN102" s="2"/>
      <c r="AO102" s="2"/>
      <c r="AQ102" s="34"/>
      <c r="AR102" s="2"/>
      <c r="AS102" s="2"/>
      <c r="AT102" s="20"/>
      <c r="AY102" s="2"/>
    </row>
    <row r="103" spans="2:51" hidden="1" x14ac:dyDescent="0.25">
      <c r="B103" s="2"/>
      <c r="X103" s="2"/>
      <c r="Y103" s="2"/>
      <c r="Z103" s="2"/>
      <c r="AA103" s="2"/>
      <c r="AM103" s="2"/>
      <c r="AN103" s="2"/>
      <c r="AO103" s="2"/>
      <c r="AQ103" s="34"/>
      <c r="AS103" s="2"/>
      <c r="AT103" s="2"/>
      <c r="AY103" s="2"/>
    </row>
    <row r="104" spans="2:51" hidden="1" x14ac:dyDescent="0.25">
      <c r="B104" s="2"/>
      <c r="D104" s="2"/>
      <c r="E104" s="2"/>
      <c r="F104" s="2"/>
      <c r="X104" s="2"/>
      <c r="Y104" s="2"/>
      <c r="Z104" s="2"/>
      <c r="AM104" s="2"/>
      <c r="AN104" s="2"/>
      <c r="AO104" s="3"/>
      <c r="AQ104" s="34"/>
      <c r="AS104" s="2"/>
      <c r="AT104" s="2"/>
      <c r="AY104" s="2"/>
    </row>
    <row r="105" spans="2:51" hidden="1" x14ac:dyDescent="0.25">
      <c r="B105" s="2"/>
      <c r="C105" s="3"/>
      <c r="D105" s="3"/>
      <c r="E105" s="42"/>
      <c r="AN105" s="2"/>
      <c r="AO105" s="24"/>
      <c r="AQ105" s="34"/>
      <c r="AS105" s="2"/>
      <c r="AY105" s="2"/>
    </row>
    <row r="106" spans="2:51" hidden="1" x14ac:dyDescent="0.25">
      <c r="D106" s="2"/>
      <c r="AA106" s="100"/>
      <c r="AB106" s="100"/>
      <c r="AC106" s="100"/>
      <c r="AD106" s="100"/>
      <c r="AE106" s="100"/>
      <c r="AF106" s="100"/>
      <c r="AG106" s="100"/>
      <c r="AH106" s="100"/>
      <c r="AI106" s="100"/>
      <c r="AJ106" s="100"/>
      <c r="AN106" s="2"/>
      <c r="AQ106" s="34"/>
      <c r="AS106" s="2"/>
      <c r="AY106" s="2"/>
    </row>
    <row r="107" spans="2:51" x14ac:dyDescent="0.25">
      <c r="Y107" s="24"/>
      <c r="AA107" s="101"/>
      <c r="AB107" s="101"/>
      <c r="AC107" s="101"/>
      <c r="AD107" s="101"/>
      <c r="AE107" s="101"/>
      <c r="AF107" s="101"/>
      <c r="AG107" s="100"/>
      <c r="AH107" s="100"/>
      <c r="AI107" s="100"/>
      <c r="AJ107" s="100"/>
      <c r="AM107" s="20"/>
      <c r="AQ107" s="34"/>
      <c r="AS107" s="2"/>
      <c r="AY107" s="2"/>
    </row>
    <row r="108" spans="2:51" x14ac:dyDescent="0.25">
      <c r="D108" s="2"/>
      <c r="Y108" s="24"/>
      <c r="AA108" s="175"/>
      <c r="AB108" s="175"/>
      <c r="AC108" s="175"/>
      <c r="AD108" s="175"/>
      <c r="AE108" s="175"/>
      <c r="AF108" s="175"/>
      <c r="AG108" s="175"/>
      <c r="AH108" s="175"/>
      <c r="AI108" s="175"/>
      <c r="AJ108" s="175"/>
      <c r="AK108" s="52"/>
      <c r="AL108" s="52"/>
      <c r="AM108" s="20"/>
      <c r="AQ108" s="34"/>
      <c r="AS108" s="2"/>
      <c r="AY108" s="2"/>
    </row>
    <row r="109" spans="2:51" x14ac:dyDescent="0.25">
      <c r="AA109" s="100"/>
      <c r="AB109" s="100"/>
      <c r="AC109" s="100"/>
      <c r="AD109" s="100"/>
      <c r="AE109" s="100"/>
      <c r="AF109" s="100"/>
      <c r="AG109" s="100"/>
      <c r="AH109" s="100"/>
      <c r="AI109" s="100"/>
      <c r="AJ109" s="100"/>
      <c r="AM109" s="2"/>
      <c r="AQ109" s="34"/>
      <c r="AY109" s="2"/>
    </row>
    <row r="110" spans="2:51" x14ac:dyDescent="0.25">
      <c r="AQ110" s="34"/>
      <c r="AY110" s="2"/>
    </row>
    <row r="111" spans="2:51" x14ac:dyDescent="0.25">
      <c r="P111" s="2"/>
      <c r="AJ111" s="2"/>
      <c r="AM111" s="2"/>
      <c r="AQ111" s="34"/>
      <c r="AY111" s="2"/>
    </row>
    <row r="112" spans="2:51" x14ac:dyDescent="0.25">
      <c r="AM112" s="2"/>
      <c r="AQ112" s="34"/>
      <c r="AY112" s="2"/>
    </row>
    <row r="113" spans="3:51" x14ac:dyDescent="0.25">
      <c r="AG113" s="2"/>
      <c r="AQ113" s="34"/>
      <c r="AY113" s="2"/>
    </row>
    <row r="114" spans="3:51" x14ac:dyDescent="0.25">
      <c r="AD114" s="2"/>
      <c r="AQ114" s="34"/>
      <c r="AY114" s="2"/>
    </row>
    <row r="115" spans="3:51" x14ac:dyDescent="0.25">
      <c r="C115" s="3">
        <f>+C95-'[8]Planeación 2025 P&amp;K (def Mod1)'!$I$160</f>
        <v>0.18428850173950195</v>
      </c>
      <c r="F115" s="3"/>
      <c r="I115" s="3"/>
      <c r="L115" s="3"/>
      <c r="AM115" s="2"/>
      <c r="AN115" s="2"/>
      <c r="AQ115" s="34"/>
      <c r="AY115" s="2"/>
    </row>
    <row r="116" spans="3:51" x14ac:dyDescent="0.25">
      <c r="AN116" s="2"/>
      <c r="AQ116" s="34"/>
      <c r="AY116" s="2"/>
    </row>
    <row r="117" spans="3:51" x14ac:dyDescent="0.25">
      <c r="AQ117" s="34"/>
      <c r="AY117" s="2"/>
    </row>
    <row r="118" spans="3:51" x14ac:dyDescent="0.25">
      <c r="AQ118" s="34"/>
      <c r="AY118" s="2"/>
    </row>
    <row r="119" spans="3:51" x14ac:dyDescent="0.25">
      <c r="AQ119" s="34"/>
      <c r="AY119" s="2"/>
    </row>
    <row r="120" spans="3:51" x14ac:dyDescent="0.25">
      <c r="AM120" s="24"/>
      <c r="AQ120" s="34"/>
      <c r="AY120" s="2"/>
    </row>
    <row r="121" spans="3:51" x14ac:dyDescent="0.25">
      <c r="AQ121" s="34"/>
      <c r="AY121" s="2"/>
    </row>
    <row r="122" spans="3:51" x14ac:dyDescent="0.25">
      <c r="AQ122" s="34"/>
      <c r="AY122" s="2"/>
    </row>
    <row r="123" spans="3:51" x14ac:dyDescent="0.25">
      <c r="AQ123" s="34"/>
      <c r="AY123" s="2"/>
    </row>
    <row r="124" spans="3:51" x14ac:dyDescent="0.25">
      <c r="AQ124" s="34"/>
      <c r="AY124" s="2"/>
    </row>
    <row r="125" spans="3:51" x14ac:dyDescent="0.25">
      <c r="AG125" s="2"/>
      <c r="AY125" s="2"/>
    </row>
    <row r="126" spans="3:51" x14ac:dyDescent="0.25">
      <c r="AG126" s="2"/>
      <c r="AY126" s="2"/>
    </row>
    <row r="127" spans="3:51" x14ac:dyDescent="0.25">
      <c r="AY127" s="2"/>
    </row>
    <row r="128" spans="3:51" x14ac:dyDescent="0.25">
      <c r="AY128" s="2"/>
    </row>
    <row r="129" spans="51:51" x14ac:dyDescent="0.25">
      <c r="AY129" s="2"/>
    </row>
    <row r="130" spans="51:51" x14ac:dyDescent="0.25">
      <c r="AY130" s="2"/>
    </row>
    <row r="131" spans="51:51" x14ac:dyDescent="0.25">
      <c r="AY131" s="2"/>
    </row>
    <row r="132" spans="51:51" x14ac:dyDescent="0.25">
      <c r="AY132" s="2"/>
    </row>
    <row r="133" spans="51:51" x14ac:dyDescent="0.25">
      <c r="AY133" s="2"/>
    </row>
    <row r="134" spans="51:51" x14ac:dyDescent="0.25">
      <c r="AY134" s="2"/>
    </row>
    <row r="135" spans="51:51" x14ac:dyDescent="0.25">
      <c r="AY135" s="2"/>
    </row>
    <row r="136" spans="51:51" x14ac:dyDescent="0.25">
      <c r="AY136" s="2"/>
    </row>
    <row r="137" spans="51:51" x14ac:dyDescent="0.25">
      <c r="AY137" s="2"/>
    </row>
    <row r="138" spans="51:51" x14ac:dyDescent="0.25">
      <c r="AY138" s="2"/>
    </row>
    <row r="139" spans="51:51" x14ac:dyDescent="0.25">
      <c r="AY139" s="2"/>
    </row>
    <row r="140" spans="51:51" x14ac:dyDescent="0.25">
      <c r="AY140" s="2"/>
    </row>
    <row r="141" spans="51:51" x14ac:dyDescent="0.25">
      <c r="AY141" s="2"/>
    </row>
    <row r="142" spans="51:51" x14ac:dyDescent="0.25">
      <c r="AY142" s="2"/>
    </row>
    <row r="143" spans="51:51" x14ac:dyDescent="0.25">
      <c r="AY143" s="2"/>
    </row>
    <row r="144" spans="51:51" x14ac:dyDescent="0.25">
      <c r="AY144" s="2"/>
    </row>
    <row r="145" spans="51:51" x14ac:dyDescent="0.25">
      <c r="AY145" s="2"/>
    </row>
    <row r="146" spans="51:51" x14ac:dyDescent="0.25">
      <c r="AY146" s="2"/>
    </row>
    <row r="147" spans="51:51" x14ac:dyDescent="0.25">
      <c r="AY147" s="2"/>
    </row>
    <row r="148" spans="51:51" x14ac:dyDescent="0.25">
      <c r="AY148" s="2"/>
    </row>
    <row r="149" spans="51:51" x14ac:dyDescent="0.25">
      <c r="AY149" s="2"/>
    </row>
    <row r="150" spans="51:51" x14ac:dyDescent="0.25">
      <c r="AY150" s="2"/>
    </row>
    <row r="151" spans="51:51" x14ac:dyDescent="0.25">
      <c r="AY151" s="2"/>
    </row>
    <row r="152" spans="51:51" x14ac:dyDescent="0.25">
      <c r="AY152" s="2"/>
    </row>
    <row r="153" spans="51:51" x14ac:dyDescent="0.25">
      <c r="AY153" s="2"/>
    </row>
    <row r="154" spans="51:51" x14ac:dyDescent="0.25">
      <c r="AY154" s="2"/>
    </row>
    <row r="155" spans="51:51" x14ac:dyDescent="0.25">
      <c r="AY155" s="2"/>
    </row>
    <row r="156" spans="51:51" x14ac:dyDescent="0.25">
      <c r="AY156" s="2"/>
    </row>
    <row r="157" spans="51:51" x14ac:dyDescent="0.25">
      <c r="AY157" s="2"/>
    </row>
    <row r="158" spans="51:51" x14ac:dyDescent="0.25">
      <c r="AY158" s="2"/>
    </row>
    <row r="159" spans="51:51" x14ac:dyDescent="0.25">
      <c r="AY159" s="2"/>
    </row>
    <row r="160" spans="51:51" x14ac:dyDescent="0.25">
      <c r="AY160" s="2"/>
    </row>
  </sheetData>
  <autoFilter ref="A5:AP96" xr:uid="{4C861BE8-7E5D-4966-A65F-7599F5FEBCAA}"/>
  <mergeCells count="16">
    <mergeCell ref="AA108:AJ108"/>
    <mergeCell ref="X4:Z4"/>
    <mergeCell ref="A1:C1"/>
    <mergeCell ref="A3:AP3"/>
    <mergeCell ref="C4:E4"/>
    <mergeCell ref="F4:H4"/>
    <mergeCell ref="AM4:AP4"/>
    <mergeCell ref="I4:K4"/>
    <mergeCell ref="L4:N4"/>
    <mergeCell ref="O4:Q4"/>
    <mergeCell ref="R4:T4"/>
    <mergeCell ref="U4:W4"/>
    <mergeCell ref="AA4:AC4"/>
    <mergeCell ref="AD4:AF4"/>
    <mergeCell ref="AG4:AI4"/>
    <mergeCell ref="AJ4:AL4"/>
  </mergeCells>
  <pageMargins left="0.39370078740157483" right="0.39370078740157483" top="0.19685039370078741" bottom="0.39370078740157483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F56F0-7CB0-4EF8-A7FC-233F8338F952}">
  <dimension ref="A1:AD101"/>
  <sheetViews>
    <sheetView showGridLines="0" zoomScale="86" zoomScaleNormal="86" workbookViewId="0">
      <pane xSplit="1" ySplit="5" topLeftCell="B83" activePane="bottomRight" state="frozen"/>
      <selection pane="topRight" activeCell="B1" sqref="B1"/>
      <selection pane="bottomLeft" activeCell="A5" sqref="A5"/>
      <selection pane="bottomRight" activeCell="P28" sqref="P28"/>
    </sheetView>
  </sheetViews>
  <sheetFormatPr baseColWidth="10" defaultColWidth="11.42578125" defaultRowHeight="15" x14ac:dyDescent="0.25"/>
  <cols>
    <col min="1" max="1" width="49.28515625" customWidth="1"/>
    <col min="2" max="2" width="17.28515625" bestFit="1" customWidth="1"/>
    <col min="3" max="3" width="15.5703125" bestFit="1" customWidth="1"/>
    <col min="4" max="5" width="15.5703125" customWidth="1"/>
    <col min="6" max="6" width="16.7109375" hidden="1" customWidth="1"/>
    <col min="7" max="10" width="16.140625" hidden="1" customWidth="1"/>
    <col min="11" max="14" width="16.7109375" hidden="1" customWidth="1"/>
    <col min="15" max="15" width="16.140625" hidden="1" customWidth="1"/>
    <col min="16" max="17" width="16.140625" customWidth="1"/>
    <col min="18" max="18" width="18.42578125" bestFit="1" customWidth="1"/>
    <col min="19" max="19" width="9.5703125" bestFit="1" customWidth="1"/>
    <col min="20" max="20" width="18.42578125" bestFit="1" customWidth="1"/>
    <col min="21" max="21" width="15.85546875" bestFit="1" customWidth="1"/>
    <col min="22" max="22" width="15.85546875" customWidth="1"/>
    <col min="23" max="23" width="15.5703125" customWidth="1"/>
    <col min="24" max="24" width="17.28515625" customWidth="1"/>
    <col min="25" max="25" width="18.42578125" customWidth="1"/>
    <col min="26" max="28" width="15.5703125" customWidth="1"/>
    <col min="29" max="30" width="14" customWidth="1"/>
    <col min="31" max="31" width="11.42578125" customWidth="1"/>
  </cols>
  <sheetData>
    <row r="1" spans="1:30" x14ac:dyDescent="0.25">
      <c r="A1" s="167" t="s">
        <v>51</v>
      </c>
      <c r="B1" s="167"/>
      <c r="C1" s="167"/>
      <c r="D1" s="14"/>
      <c r="E1" s="14"/>
    </row>
    <row r="2" spans="1:30" x14ac:dyDescent="0.25">
      <c r="A2" s="14"/>
      <c r="B2" s="14"/>
      <c r="C2" s="14"/>
      <c r="D2" s="14"/>
      <c r="E2" s="14"/>
    </row>
    <row r="3" spans="1:30" ht="15.75" thickBot="1" x14ac:dyDescent="0.3">
      <c r="A3" s="168" t="s">
        <v>64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23"/>
      <c r="U3" s="23"/>
      <c r="V3" s="23"/>
    </row>
    <row r="4" spans="1:30" ht="15.75" thickBot="1" x14ac:dyDescent="0.3">
      <c r="A4" s="23"/>
      <c r="B4" s="23"/>
      <c r="C4" s="169" t="s">
        <v>105</v>
      </c>
      <c r="D4" s="170"/>
      <c r="E4" s="171"/>
      <c r="F4" s="23"/>
      <c r="G4" s="23"/>
      <c r="H4" s="23"/>
      <c r="I4" s="23"/>
      <c r="J4" s="23"/>
      <c r="K4" s="23"/>
      <c r="L4" s="23"/>
      <c r="M4" s="23"/>
      <c r="N4" s="23"/>
      <c r="O4" s="23"/>
      <c r="P4" s="172" t="s">
        <v>48</v>
      </c>
      <c r="Q4" s="173"/>
      <c r="R4" s="173"/>
      <c r="S4" s="174"/>
      <c r="T4" s="23"/>
      <c r="U4" s="23"/>
      <c r="V4" s="23"/>
    </row>
    <row r="5" spans="1:30" s="19" customFormat="1" ht="30" x14ac:dyDescent="0.25">
      <c r="A5" s="16" t="s">
        <v>50</v>
      </c>
      <c r="B5" s="17" t="s">
        <v>63</v>
      </c>
      <c r="C5" s="17" t="s">
        <v>40</v>
      </c>
      <c r="D5" s="17" t="s">
        <v>99</v>
      </c>
      <c r="E5" s="17" t="s">
        <v>100</v>
      </c>
      <c r="F5" s="17" t="s">
        <v>42</v>
      </c>
      <c r="G5" s="17" t="s">
        <v>43</v>
      </c>
      <c r="H5" s="17" t="s">
        <v>44</v>
      </c>
      <c r="I5" s="17" t="s">
        <v>6</v>
      </c>
      <c r="J5" s="17" t="s">
        <v>5</v>
      </c>
      <c r="K5" s="17" t="s">
        <v>45</v>
      </c>
      <c r="L5" s="17" t="s">
        <v>46</v>
      </c>
      <c r="M5" s="17" t="s">
        <v>47</v>
      </c>
      <c r="N5" s="17" t="s">
        <v>4</v>
      </c>
      <c r="O5" s="17" t="s">
        <v>3</v>
      </c>
      <c r="P5" s="28" t="s">
        <v>102</v>
      </c>
      <c r="Q5" s="28" t="s">
        <v>103</v>
      </c>
      <c r="R5" s="28" t="s">
        <v>104</v>
      </c>
      <c r="S5" s="18" t="s">
        <v>49</v>
      </c>
      <c r="T5" s="33"/>
      <c r="U5" s="33"/>
      <c r="V5" s="33"/>
    </row>
    <row r="6" spans="1:30" x14ac:dyDescent="0.25">
      <c r="A6" s="5" t="s">
        <v>94</v>
      </c>
      <c r="B6" s="4">
        <v>116980329</v>
      </c>
      <c r="C6" s="4">
        <v>0</v>
      </c>
      <c r="D6" s="4">
        <v>0</v>
      </c>
      <c r="E6" s="4">
        <f>+C6-D6</f>
        <v>0</v>
      </c>
      <c r="F6" s="4"/>
      <c r="G6" s="4"/>
      <c r="H6" s="4"/>
      <c r="I6" s="4"/>
      <c r="J6" s="4"/>
      <c r="K6" s="4"/>
      <c r="L6" s="4"/>
      <c r="M6" s="4"/>
      <c r="N6" s="4"/>
      <c r="O6" s="4"/>
      <c r="P6" s="4">
        <f t="shared" ref="P6:R11" si="0">+C6</f>
        <v>0</v>
      </c>
      <c r="Q6" s="4">
        <f t="shared" si="0"/>
        <v>0</v>
      </c>
      <c r="R6" s="6">
        <f t="shared" si="0"/>
        <v>0</v>
      </c>
      <c r="S6" s="29">
        <v>0</v>
      </c>
      <c r="T6" s="34"/>
      <c r="U6" s="34"/>
      <c r="V6" s="34"/>
      <c r="W6" s="2"/>
      <c r="X6" s="2"/>
    </row>
    <row r="7" spans="1:30" x14ac:dyDescent="0.25">
      <c r="A7" s="5" t="s">
        <v>95</v>
      </c>
      <c r="B7" s="4">
        <v>727688079.04725444</v>
      </c>
      <c r="C7" s="4">
        <v>0</v>
      </c>
      <c r="D7" s="4">
        <v>0</v>
      </c>
      <c r="E7" s="4">
        <f t="shared" ref="E7:E22" si="1">+C7-D7</f>
        <v>0</v>
      </c>
      <c r="F7" s="4"/>
      <c r="G7" s="4"/>
      <c r="H7" s="4"/>
      <c r="I7" s="4"/>
      <c r="J7" s="4"/>
      <c r="K7" s="4"/>
      <c r="L7" s="4"/>
      <c r="M7" s="4"/>
      <c r="N7" s="4"/>
      <c r="O7" s="4"/>
      <c r="P7" s="4">
        <f t="shared" si="0"/>
        <v>0</v>
      </c>
      <c r="Q7" s="4">
        <f t="shared" si="0"/>
        <v>0</v>
      </c>
      <c r="R7" s="6">
        <f t="shared" si="0"/>
        <v>0</v>
      </c>
      <c r="S7" s="29">
        <v>0</v>
      </c>
      <c r="T7" s="34"/>
      <c r="U7" s="34"/>
      <c r="V7" s="34"/>
      <c r="W7" s="2"/>
      <c r="X7" s="2"/>
    </row>
    <row r="8" spans="1:30" x14ac:dyDescent="0.25">
      <c r="A8" s="5" t="s">
        <v>96</v>
      </c>
      <c r="B8" s="4">
        <v>1460371848</v>
      </c>
      <c r="C8" s="4">
        <v>0</v>
      </c>
      <c r="D8" s="4">
        <v>0</v>
      </c>
      <c r="E8" s="4">
        <f t="shared" si="1"/>
        <v>0</v>
      </c>
      <c r="F8" s="4"/>
      <c r="G8" s="4"/>
      <c r="H8" s="4"/>
      <c r="I8" s="4"/>
      <c r="J8" s="4"/>
      <c r="K8" s="4"/>
      <c r="L8" s="4"/>
      <c r="M8" s="4"/>
      <c r="N8" s="4"/>
      <c r="O8" s="4"/>
      <c r="P8" s="4">
        <f t="shared" si="0"/>
        <v>0</v>
      </c>
      <c r="Q8" s="4">
        <f t="shared" si="0"/>
        <v>0</v>
      </c>
      <c r="R8" s="6">
        <f t="shared" si="0"/>
        <v>0</v>
      </c>
      <c r="S8" s="29">
        <v>0</v>
      </c>
      <c r="T8" s="34"/>
      <c r="U8" s="34"/>
      <c r="V8" s="34"/>
      <c r="W8" s="2"/>
      <c r="X8" s="2"/>
    </row>
    <row r="9" spans="1:30" x14ac:dyDescent="0.25">
      <c r="A9" s="5" t="s">
        <v>97</v>
      </c>
      <c r="B9" s="4">
        <v>384000000</v>
      </c>
      <c r="C9" s="4">
        <v>32000000</v>
      </c>
      <c r="D9" s="4">
        <v>35018397.310000002</v>
      </c>
      <c r="E9" s="4">
        <f t="shared" si="1"/>
        <v>-3018397.3100000024</v>
      </c>
      <c r="F9" s="4"/>
      <c r="G9" s="4"/>
      <c r="H9" s="4"/>
      <c r="I9" s="4"/>
      <c r="J9" s="4"/>
      <c r="K9" s="4"/>
      <c r="L9" s="4"/>
      <c r="M9" s="4"/>
      <c r="N9" s="4"/>
      <c r="O9" s="4"/>
      <c r="P9" s="4">
        <f t="shared" si="0"/>
        <v>32000000</v>
      </c>
      <c r="Q9" s="4">
        <f t="shared" si="0"/>
        <v>35018397.310000002</v>
      </c>
      <c r="R9" s="6">
        <f t="shared" si="0"/>
        <v>-3018397.3100000024</v>
      </c>
      <c r="S9" s="43">
        <f>+R9/P9*100</f>
        <v>-9.432491593750008</v>
      </c>
      <c r="T9" s="34"/>
      <c r="U9" s="34"/>
      <c r="V9" s="34"/>
      <c r="W9" s="2"/>
      <c r="X9" s="2"/>
    </row>
    <row r="10" spans="1:30" x14ac:dyDescent="0.25">
      <c r="A10" s="5" t="s">
        <v>101</v>
      </c>
      <c r="B10" s="4">
        <v>0</v>
      </c>
      <c r="C10" s="4">
        <v>0</v>
      </c>
      <c r="D10" s="4">
        <v>0</v>
      </c>
      <c r="E10" s="4">
        <f t="shared" si="1"/>
        <v>0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>
        <f t="shared" si="0"/>
        <v>0</v>
      </c>
      <c r="Q10" s="4">
        <f t="shared" si="0"/>
        <v>0</v>
      </c>
      <c r="R10" s="6">
        <f t="shared" si="0"/>
        <v>0</v>
      </c>
      <c r="S10" s="30" t="e">
        <f>+R10/P10*100</f>
        <v>#DIV/0!</v>
      </c>
      <c r="T10" s="34"/>
      <c r="U10" s="34"/>
      <c r="V10" s="34"/>
      <c r="W10" s="2"/>
      <c r="X10" s="2"/>
    </row>
    <row r="11" spans="1:30" x14ac:dyDescent="0.25">
      <c r="A11" s="26" t="s">
        <v>98</v>
      </c>
      <c r="B11" s="4">
        <v>1744961750</v>
      </c>
      <c r="C11" s="4">
        <v>348992350</v>
      </c>
      <c r="D11" s="4">
        <v>0</v>
      </c>
      <c r="E11" s="4">
        <f t="shared" si="1"/>
        <v>348992350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>
        <f t="shared" si="0"/>
        <v>348992350</v>
      </c>
      <c r="Q11" s="4">
        <f t="shared" si="0"/>
        <v>0</v>
      </c>
      <c r="R11" s="6">
        <f t="shared" si="0"/>
        <v>348992350</v>
      </c>
      <c r="S11" s="30">
        <f>+R11/P11*100</f>
        <v>100</v>
      </c>
      <c r="T11" s="34"/>
      <c r="U11" s="34"/>
      <c r="V11" s="34"/>
      <c r="W11" s="2"/>
      <c r="X11" s="2"/>
    </row>
    <row r="12" spans="1:30" ht="18.75" x14ac:dyDescent="0.3">
      <c r="A12" s="11" t="s">
        <v>2</v>
      </c>
      <c r="B12" s="7">
        <f>SUM(B6:B11)</f>
        <v>4434002006.0472546</v>
      </c>
      <c r="C12" s="7">
        <f t="shared" ref="C12:R12" si="2">SUM(C6:C11)</f>
        <v>380992350</v>
      </c>
      <c r="D12" s="7">
        <f t="shared" si="2"/>
        <v>35018397.310000002</v>
      </c>
      <c r="E12" s="7">
        <f t="shared" si="2"/>
        <v>345973952.69</v>
      </c>
      <c r="F12" s="7">
        <f t="shared" si="2"/>
        <v>0</v>
      </c>
      <c r="G12" s="7">
        <f t="shared" si="2"/>
        <v>0</v>
      </c>
      <c r="H12" s="7">
        <f t="shared" si="2"/>
        <v>0</v>
      </c>
      <c r="I12" s="7">
        <f t="shared" si="2"/>
        <v>0</v>
      </c>
      <c r="J12" s="7">
        <f t="shared" si="2"/>
        <v>0</v>
      </c>
      <c r="K12" s="7">
        <f t="shared" si="2"/>
        <v>0</v>
      </c>
      <c r="L12" s="7">
        <f t="shared" si="2"/>
        <v>0</v>
      </c>
      <c r="M12" s="7">
        <f t="shared" si="2"/>
        <v>0</v>
      </c>
      <c r="N12" s="7">
        <f t="shared" si="2"/>
        <v>0</v>
      </c>
      <c r="O12" s="7">
        <f t="shared" si="2"/>
        <v>0</v>
      </c>
      <c r="P12" s="7">
        <f t="shared" si="2"/>
        <v>380992350</v>
      </c>
      <c r="Q12" s="7">
        <f t="shared" si="2"/>
        <v>35018397.310000002</v>
      </c>
      <c r="R12" s="7">
        <f t="shared" si="2"/>
        <v>345973952.69</v>
      </c>
      <c r="S12" s="31">
        <f>+R12/P12</f>
        <v>0.90808635052646069</v>
      </c>
      <c r="T12" s="34"/>
      <c r="U12" s="35"/>
      <c r="V12" s="35"/>
      <c r="W12" s="2"/>
      <c r="X12" s="2"/>
    </row>
    <row r="13" spans="1:30" x14ac:dyDescent="0.25">
      <c r="A13" s="5" t="s">
        <v>36</v>
      </c>
      <c r="B13" s="4">
        <v>878588056</v>
      </c>
      <c r="C13" s="4">
        <v>73215671.330134079</v>
      </c>
      <c r="D13" s="4">
        <v>86122604.719999999</v>
      </c>
      <c r="E13" s="4">
        <f t="shared" si="1"/>
        <v>-12906933.38986592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>
        <f t="shared" ref="P13:R19" si="3">+C13</f>
        <v>73215671.330134079</v>
      </c>
      <c r="Q13" s="4">
        <f t="shared" si="3"/>
        <v>86122604.719999999</v>
      </c>
      <c r="R13" s="6">
        <f t="shared" si="3"/>
        <v>-12906933.38986592</v>
      </c>
      <c r="S13" s="43">
        <f>+R13/P13*100</f>
        <v>-17.628648560316744</v>
      </c>
      <c r="T13" s="34"/>
      <c r="U13" s="36"/>
      <c r="V13" s="36"/>
      <c r="W13" s="2"/>
      <c r="X13" s="2"/>
    </row>
    <row r="14" spans="1:30" ht="60" x14ac:dyDescent="0.25">
      <c r="A14" s="21" t="s">
        <v>65</v>
      </c>
      <c r="B14" s="4">
        <v>21060000</v>
      </c>
      <c r="C14" s="4">
        <v>7020000</v>
      </c>
      <c r="D14" s="4">
        <v>0</v>
      </c>
      <c r="E14" s="4">
        <f t="shared" si="1"/>
        <v>7020000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>
        <f t="shared" si="3"/>
        <v>7020000</v>
      </c>
      <c r="Q14" s="4">
        <f t="shared" si="3"/>
        <v>0</v>
      </c>
      <c r="R14" s="6">
        <f t="shared" si="3"/>
        <v>7020000</v>
      </c>
      <c r="S14" s="43">
        <f t="shared" ref="S14:S22" si="4">+R14/P14*100</f>
        <v>100</v>
      </c>
      <c r="T14" s="34"/>
      <c r="U14" s="36"/>
      <c r="V14" s="36"/>
      <c r="W14" s="2"/>
      <c r="X14" s="2"/>
    </row>
    <row r="15" spans="1:30" x14ac:dyDescent="0.25">
      <c r="A15" s="5" t="s">
        <v>9</v>
      </c>
      <c r="B15" s="4">
        <f>1981048858-52905201</f>
        <v>1928143657</v>
      </c>
      <c r="C15" s="4">
        <v>27833200</v>
      </c>
      <c r="D15" s="4">
        <v>5039883</v>
      </c>
      <c r="E15" s="4">
        <f t="shared" si="1"/>
        <v>22793317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>
        <f t="shared" si="3"/>
        <v>27833200</v>
      </c>
      <c r="Q15" s="4">
        <f t="shared" si="3"/>
        <v>5039883</v>
      </c>
      <c r="R15" s="6">
        <f t="shared" si="3"/>
        <v>22793317</v>
      </c>
      <c r="S15" s="43">
        <f t="shared" si="4"/>
        <v>81.892549185864354</v>
      </c>
      <c r="T15" s="34"/>
      <c r="U15" s="36"/>
      <c r="V15" s="36"/>
      <c r="W15" s="2"/>
      <c r="X15" s="37"/>
      <c r="Y15" s="20"/>
      <c r="Z15" s="20"/>
      <c r="AA15" s="20"/>
      <c r="AB15" s="20"/>
      <c r="AC15" s="20"/>
      <c r="AD15" s="20"/>
    </row>
    <row r="16" spans="1:30" x14ac:dyDescent="0.25">
      <c r="A16" s="5" t="s">
        <v>8</v>
      </c>
      <c r="B16" s="4">
        <f>2106159750</f>
        <v>2106159750</v>
      </c>
      <c r="C16" s="4">
        <v>365592350</v>
      </c>
      <c r="D16" s="4">
        <v>125855</v>
      </c>
      <c r="E16" s="4">
        <f t="shared" si="1"/>
        <v>365466495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>
        <f t="shared" si="3"/>
        <v>365592350</v>
      </c>
      <c r="Q16" s="4">
        <f t="shared" si="3"/>
        <v>125855</v>
      </c>
      <c r="R16" s="6">
        <f t="shared" si="3"/>
        <v>365466495</v>
      </c>
      <c r="S16" s="43">
        <f t="shared" si="4"/>
        <v>99.965575045539111</v>
      </c>
      <c r="T16" s="34"/>
      <c r="U16" s="36"/>
      <c r="V16" s="2"/>
      <c r="X16" s="37"/>
      <c r="Y16" s="20"/>
      <c r="Z16" s="20"/>
      <c r="AA16" s="20"/>
      <c r="AB16" s="20"/>
      <c r="AC16" s="20"/>
      <c r="AD16" s="20"/>
    </row>
    <row r="17" spans="1:30" x14ac:dyDescent="0.25">
      <c r="A17" s="5" t="s">
        <v>10</v>
      </c>
      <c r="B17" s="4">
        <f>360000000+14000000</f>
        <v>374000000</v>
      </c>
      <c r="C17" s="4">
        <v>0</v>
      </c>
      <c r="D17" s="4">
        <v>0</v>
      </c>
      <c r="E17" s="4">
        <f t="shared" si="1"/>
        <v>0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>
        <f t="shared" si="3"/>
        <v>0</v>
      </c>
      <c r="Q17" s="4">
        <f t="shared" si="3"/>
        <v>0</v>
      </c>
      <c r="R17" s="6">
        <f t="shared" si="3"/>
        <v>0</v>
      </c>
      <c r="S17" s="43">
        <v>0</v>
      </c>
      <c r="T17" s="34"/>
      <c r="U17" s="36"/>
      <c r="V17" s="36"/>
      <c r="W17" s="2"/>
      <c r="X17" s="37"/>
      <c r="Y17" s="20"/>
      <c r="Z17" s="20"/>
      <c r="AA17" s="20"/>
      <c r="AB17" s="20"/>
      <c r="AC17" s="20"/>
      <c r="AD17" s="20"/>
    </row>
    <row r="18" spans="1:30" x14ac:dyDescent="0.25">
      <c r="A18" s="5" t="s">
        <v>11</v>
      </c>
      <c r="B18" s="4">
        <f>744342859-14000000</f>
        <v>730342859</v>
      </c>
      <c r="C18" s="4">
        <v>48866667</v>
      </c>
      <c r="D18" s="4">
        <v>0</v>
      </c>
      <c r="E18" s="4">
        <f t="shared" si="1"/>
        <v>48866667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>
        <f t="shared" si="3"/>
        <v>48866667</v>
      </c>
      <c r="Q18" s="4">
        <f t="shared" si="3"/>
        <v>0</v>
      </c>
      <c r="R18" s="6">
        <f t="shared" si="3"/>
        <v>48866667</v>
      </c>
      <c r="S18" s="43">
        <f t="shared" si="4"/>
        <v>100</v>
      </c>
      <c r="T18" s="34"/>
      <c r="U18" s="36"/>
      <c r="V18" s="36"/>
      <c r="W18" s="2"/>
      <c r="X18" s="37"/>
      <c r="Y18" s="20"/>
      <c r="Z18" s="20"/>
      <c r="AA18" s="20"/>
      <c r="AB18" s="20"/>
      <c r="AC18" s="20"/>
      <c r="AD18" s="20"/>
    </row>
    <row r="19" spans="1:30" x14ac:dyDescent="0.25">
      <c r="A19" s="5" t="s">
        <v>12</v>
      </c>
      <c r="B19" s="4">
        <f>389605000+1000000</f>
        <v>390605000</v>
      </c>
      <c r="C19" s="4">
        <v>6650000</v>
      </c>
      <c r="D19" s="4">
        <v>1781552</v>
      </c>
      <c r="E19" s="4">
        <f t="shared" si="1"/>
        <v>4868448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>
        <f t="shared" si="3"/>
        <v>6650000</v>
      </c>
      <c r="Q19" s="4">
        <f t="shared" si="3"/>
        <v>1781552</v>
      </c>
      <c r="R19" s="6">
        <f t="shared" si="3"/>
        <v>4868448</v>
      </c>
      <c r="S19" s="43">
        <f t="shared" si="4"/>
        <v>73.209744360902249</v>
      </c>
      <c r="T19" s="34"/>
      <c r="U19" s="36"/>
      <c r="V19" s="36"/>
      <c r="W19" s="2"/>
      <c r="X19" s="37"/>
      <c r="Y19" s="20"/>
      <c r="Z19" s="20"/>
      <c r="AA19" s="20"/>
      <c r="AB19" s="20"/>
      <c r="AC19" s="20"/>
      <c r="AD19" s="20"/>
    </row>
    <row r="20" spans="1:30" x14ac:dyDescent="0.25">
      <c r="A20" s="12" t="s">
        <v>13</v>
      </c>
      <c r="B20" s="8">
        <f t="shared" ref="B20:R20" si="5">SUM(B13:B19)</f>
        <v>6428899322</v>
      </c>
      <c r="C20" s="8">
        <f t="shared" si="5"/>
        <v>529177888.33013409</v>
      </c>
      <c r="D20" s="8">
        <f t="shared" si="5"/>
        <v>93069894.719999999</v>
      </c>
      <c r="E20" s="8">
        <f t="shared" si="5"/>
        <v>436107993.61013407</v>
      </c>
      <c r="F20" s="8">
        <f t="shared" si="5"/>
        <v>0</v>
      </c>
      <c r="G20" s="8">
        <f t="shared" si="5"/>
        <v>0</v>
      </c>
      <c r="H20" s="8">
        <f t="shared" si="5"/>
        <v>0</v>
      </c>
      <c r="I20" s="8">
        <f t="shared" si="5"/>
        <v>0</v>
      </c>
      <c r="J20" s="8">
        <f t="shared" si="5"/>
        <v>0</v>
      </c>
      <c r="K20" s="8">
        <f t="shared" si="5"/>
        <v>0</v>
      </c>
      <c r="L20" s="8">
        <f t="shared" si="5"/>
        <v>0</v>
      </c>
      <c r="M20" s="8">
        <f t="shared" si="5"/>
        <v>0</v>
      </c>
      <c r="N20" s="8">
        <f t="shared" si="5"/>
        <v>0</v>
      </c>
      <c r="O20" s="8">
        <f t="shared" si="5"/>
        <v>0</v>
      </c>
      <c r="P20" s="8">
        <f t="shared" si="5"/>
        <v>529177888.33013409</v>
      </c>
      <c r="Q20" s="8">
        <f t="shared" si="5"/>
        <v>93069894.719999999</v>
      </c>
      <c r="R20" s="8">
        <f t="shared" si="5"/>
        <v>436107993.61013407</v>
      </c>
      <c r="S20" s="31">
        <f>+R20/P20</f>
        <v>0.82412361367991016</v>
      </c>
      <c r="T20" s="34"/>
      <c r="U20" s="35"/>
      <c r="V20" s="35"/>
      <c r="W20" s="2"/>
      <c r="Y20" s="20"/>
      <c r="Z20" s="20"/>
      <c r="AA20" s="20"/>
      <c r="AB20" s="20"/>
    </row>
    <row r="21" spans="1:30" x14ac:dyDescent="0.25">
      <c r="A21" s="5" t="s">
        <v>35</v>
      </c>
      <c r="B21" s="4">
        <v>40627002</v>
      </c>
      <c r="C21" s="27">
        <v>3385583.5765486476</v>
      </c>
      <c r="D21" s="4">
        <v>3565471</v>
      </c>
      <c r="E21" s="4">
        <f t="shared" si="1"/>
        <v>-179887.4234513524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>
        <f t="shared" ref="P21:R22" si="6">+C21</f>
        <v>3385583.5765486476</v>
      </c>
      <c r="Q21" s="4">
        <f t="shared" si="6"/>
        <v>3565471</v>
      </c>
      <c r="R21" s="6">
        <f t="shared" si="6"/>
        <v>-179887.4234513524</v>
      </c>
      <c r="S21" s="43">
        <f t="shared" si="4"/>
        <v>-5.3133357775422088</v>
      </c>
      <c r="T21" s="34"/>
      <c r="U21" s="38"/>
      <c r="V21" s="38"/>
      <c r="W21" s="2"/>
      <c r="Y21" s="20"/>
      <c r="Z21" s="20"/>
      <c r="AA21" s="20"/>
      <c r="AB21" s="20"/>
    </row>
    <row r="22" spans="1:30" x14ac:dyDescent="0.25">
      <c r="A22" s="5" t="s">
        <v>14</v>
      </c>
      <c r="B22" s="4">
        <v>17458000</v>
      </c>
      <c r="C22" s="4">
        <v>3250000</v>
      </c>
      <c r="D22" s="4">
        <v>31735</v>
      </c>
      <c r="E22" s="4">
        <f t="shared" si="1"/>
        <v>3218265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>
        <f t="shared" si="6"/>
        <v>3250000</v>
      </c>
      <c r="Q22" s="4">
        <f t="shared" si="6"/>
        <v>31735</v>
      </c>
      <c r="R22" s="6">
        <f t="shared" si="6"/>
        <v>3218265</v>
      </c>
      <c r="S22" s="43">
        <f t="shared" si="4"/>
        <v>99.023538461538465</v>
      </c>
      <c r="T22" s="34"/>
      <c r="U22" s="38"/>
      <c r="V22" s="38"/>
      <c r="W22" s="2"/>
      <c r="Y22" s="20"/>
      <c r="Z22" s="20"/>
      <c r="AA22" s="20"/>
      <c r="AB22" s="20"/>
    </row>
    <row r="23" spans="1:30" x14ac:dyDescent="0.25">
      <c r="A23" s="12" t="s">
        <v>15</v>
      </c>
      <c r="B23" s="8">
        <f t="shared" ref="B23:R23" si="7">SUM(B21:B22)</f>
        <v>58085002</v>
      </c>
      <c r="C23" s="8">
        <f t="shared" si="7"/>
        <v>6635583.5765486471</v>
      </c>
      <c r="D23" s="8">
        <f t="shared" si="7"/>
        <v>3597206</v>
      </c>
      <c r="E23" s="8">
        <f t="shared" si="7"/>
        <v>3038377.5765486476</v>
      </c>
      <c r="F23" s="8">
        <f t="shared" si="7"/>
        <v>0</v>
      </c>
      <c r="G23" s="8">
        <f t="shared" si="7"/>
        <v>0</v>
      </c>
      <c r="H23" s="8">
        <f t="shared" si="7"/>
        <v>0</v>
      </c>
      <c r="I23" s="8">
        <f t="shared" si="7"/>
        <v>0</v>
      </c>
      <c r="J23" s="8">
        <f t="shared" si="7"/>
        <v>0</v>
      </c>
      <c r="K23" s="8">
        <f t="shared" si="7"/>
        <v>0</v>
      </c>
      <c r="L23" s="8">
        <f t="shared" si="7"/>
        <v>0</v>
      </c>
      <c r="M23" s="8">
        <f t="shared" si="7"/>
        <v>0</v>
      </c>
      <c r="N23" s="8">
        <f t="shared" si="7"/>
        <v>0</v>
      </c>
      <c r="O23" s="8">
        <f t="shared" si="7"/>
        <v>0</v>
      </c>
      <c r="P23" s="8">
        <f t="shared" si="7"/>
        <v>6635583.5765486471</v>
      </c>
      <c r="Q23" s="8">
        <f t="shared" si="7"/>
        <v>3597206</v>
      </c>
      <c r="R23" s="8">
        <f t="shared" si="7"/>
        <v>3038377.5765486476</v>
      </c>
      <c r="S23" s="31">
        <f>+R23/P23</f>
        <v>0.45789153907831465</v>
      </c>
      <c r="T23" s="34"/>
      <c r="U23" s="36"/>
      <c r="V23" s="36"/>
      <c r="W23" s="2"/>
      <c r="Y23" s="20"/>
      <c r="Z23" s="20"/>
      <c r="AA23" s="20"/>
      <c r="AB23" s="20"/>
    </row>
    <row r="24" spans="1:30" x14ac:dyDescent="0.25">
      <c r="A24" s="12" t="s">
        <v>1</v>
      </c>
      <c r="B24" s="8">
        <f t="shared" ref="B24:R24" si="8">+B23+B20</f>
        <v>6486984324</v>
      </c>
      <c r="C24" s="8">
        <f t="shared" si="8"/>
        <v>535813471.90668273</v>
      </c>
      <c r="D24" s="8">
        <f t="shared" si="8"/>
        <v>96667100.719999999</v>
      </c>
      <c r="E24" s="8">
        <f t="shared" si="8"/>
        <v>439146371.1866827</v>
      </c>
      <c r="F24" s="8">
        <f t="shared" si="8"/>
        <v>0</v>
      </c>
      <c r="G24" s="8">
        <f t="shared" si="8"/>
        <v>0</v>
      </c>
      <c r="H24" s="8">
        <f t="shared" si="8"/>
        <v>0</v>
      </c>
      <c r="I24" s="8">
        <f t="shared" si="8"/>
        <v>0</v>
      </c>
      <c r="J24" s="8">
        <f t="shared" si="8"/>
        <v>0</v>
      </c>
      <c r="K24" s="8">
        <f t="shared" si="8"/>
        <v>0</v>
      </c>
      <c r="L24" s="8">
        <f t="shared" si="8"/>
        <v>0</v>
      </c>
      <c r="M24" s="8">
        <f t="shared" si="8"/>
        <v>0</v>
      </c>
      <c r="N24" s="8">
        <f t="shared" si="8"/>
        <v>0</v>
      </c>
      <c r="O24" s="8">
        <f t="shared" si="8"/>
        <v>0</v>
      </c>
      <c r="P24" s="8">
        <f t="shared" si="8"/>
        <v>535813471.90668273</v>
      </c>
      <c r="Q24" s="8">
        <f t="shared" si="8"/>
        <v>96667100.719999999</v>
      </c>
      <c r="R24" s="8">
        <f t="shared" si="8"/>
        <v>439146371.1866827</v>
      </c>
      <c r="S24" s="31">
        <f>+R24/P24</f>
        <v>0.81958814813667924</v>
      </c>
      <c r="T24" s="34"/>
      <c r="U24" s="35"/>
      <c r="V24" s="35"/>
      <c r="W24" s="2"/>
      <c r="X24" s="2"/>
      <c r="Y24" s="20"/>
      <c r="Z24" s="20"/>
      <c r="AA24" s="20"/>
      <c r="AB24" s="20"/>
    </row>
    <row r="25" spans="1:30" x14ac:dyDescent="0.25">
      <c r="A25" s="22" t="s">
        <v>58</v>
      </c>
      <c r="B25" s="4">
        <v>1516052727</v>
      </c>
      <c r="C25" s="4">
        <v>126337727.3946867</v>
      </c>
      <c r="D25" s="4">
        <v>96267509.640000001</v>
      </c>
      <c r="E25" s="4">
        <f t="shared" ref="E25:E86" si="9">+C25-D25</f>
        <v>30070217.754686698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>
        <f t="shared" ref="P25:P33" si="10">+C25</f>
        <v>126337727.3946867</v>
      </c>
      <c r="Q25" s="4">
        <f t="shared" ref="Q25:Q33" si="11">+D25</f>
        <v>96267509.640000001</v>
      </c>
      <c r="R25" s="6">
        <f t="shared" ref="R25:R33" si="12">+E25</f>
        <v>30070217.754686698</v>
      </c>
      <c r="S25" s="43">
        <f t="shared" ref="S25:S31" si="13">+R25/P25*100</f>
        <v>23.801455333089475</v>
      </c>
      <c r="T25" s="34"/>
      <c r="U25" s="38"/>
      <c r="V25" s="38"/>
      <c r="W25" s="2"/>
      <c r="X25" s="37"/>
      <c r="Y25" s="20"/>
      <c r="Z25" s="20"/>
      <c r="AA25" s="20"/>
      <c r="AB25" s="20"/>
    </row>
    <row r="26" spans="1:30" ht="60" x14ac:dyDescent="0.25">
      <c r="A26" s="21" t="s">
        <v>65</v>
      </c>
      <c r="B26" s="4">
        <v>254272041</v>
      </c>
      <c r="C26" s="4">
        <v>20972282.5</v>
      </c>
      <c r="D26" s="4">
        <v>0</v>
      </c>
      <c r="E26" s="4">
        <f t="shared" si="9"/>
        <v>20972282.5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4">
        <f t="shared" si="10"/>
        <v>20972282.5</v>
      </c>
      <c r="Q26" s="4">
        <f t="shared" si="11"/>
        <v>0</v>
      </c>
      <c r="R26" s="6">
        <f t="shared" si="12"/>
        <v>20972282.5</v>
      </c>
      <c r="S26" s="43">
        <f t="shared" si="13"/>
        <v>100</v>
      </c>
      <c r="T26" s="34"/>
      <c r="U26" s="38"/>
      <c r="V26" s="38"/>
      <c r="W26" s="2"/>
      <c r="X26" s="37"/>
      <c r="Y26" s="20"/>
      <c r="Z26" s="20"/>
    </row>
    <row r="27" spans="1:30" x14ac:dyDescent="0.25">
      <c r="A27" s="5" t="s">
        <v>16</v>
      </c>
      <c r="B27" s="4">
        <v>36000000</v>
      </c>
      <c r="C27" s="4">
        <f>40654560-28654560</f>
        <v>12000000</v>
      </c>
      <c r="D27" s="4">
        <v>31735</v>
      </c>
      <c r="E27" s="4">
        <f t="shared" si="9"/>
        <v>11968265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>
        <f t="shared" si="10"/>
        <v>12000000</v>
      </c>
      <c r="Q27" s="4">
        <f t="shared" si="11"/>
        <v>31735</v>
      </c>
      <c r="R27" s="6">
        <f t="shared" si="12"/>
        <v>11968265</v>
      </c>
      <c r="S27" s="43">
        <f t="shared" si="13"/>
        <v>99.735541666666677</v>
      </c>
      <c r="T27" s="34"/>
      <c r="U27" s="38"/>
      <c r="V27" s="38"/>
      <c r="W27" s="2"/>
      <c r="X27" s="2"/>
    </row>
    <row r="28" spans="1:30" x14ac:dyDescent="0.25">
      <c r="A28" s="5" t="s">
        <v>17</v>
      </c>
      <c r="B28" s="4">
        <f>8582072214</f>
        <v>8582072214</v>
      </c>
      <c r="C28" s="4">
        <v>55867726.200000003</v>
      </c>
      <c r="D28" s="4">
        <v>1086170</v>
      </c>
      <c r="E28" s="4">
        <f t="shared" si="9"/>
        <v>54781556.200000003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>
        <f t="shared" si="10"/>
        <v>55867726.200000003</v>
      </c>
      <c r="Q28" s="4">
        <f t="shared" si="11"/>
        <v>1086170</v>
      </c>
      <c r="R28" s="6">
        <f t="shared" si="12"/>
        <v>54781556.200000003</v>
      </c>
      <c r="S28" s="43">
        <f t="shared" si="13"/>
        <v>98.055818495079535</v>
      </c>
      <c r="T28" s="34"/>
      <c r="U28" s="38"/>
      <c r="V28" s="38"/>
      <c r="W28" s="2"/>
      <c r="X28" s="2"/>
    </row>
    <row r="29" spans="1:30" x14ac:dyDescent="0.25">
      <c r="A29" s="5" t="s">
        <v>7</v>
      </c>
      <c r="B29" s="4">
        <f>1481563987+36650001</f>
        <v>1518213988</v>
      </c>
      <c r="C29" s="4">
        <v>95543915.599999994</v>
      </c>
      <c r="D29" s="4">
        <v>8641952</v>
      </c>
      <c r="E29" s="4">
        <f t="shared" si="9"/>
        <v>86901963.599999994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>
        <f t="shared" si="10"/>
        <v>95543915.599999994</v>
      </c>
      <c r="Q29" s="4">
        <f t="shared" si="11"/>
        <v>8641952</v>
      </c>
      <c r="R29" s="6">
        <f t="shared" si="12"/>
        <v>86901963.599999994</v>
      </c>
      <c r="S29" s="43">
        <f t="shared" si="13"/>
        <v>90.954994940567417</v>
      </c>
      <c r="T29" s="34"/>
      <c r="U29" s="38"/>
      <c r="V29" s="38"/>
      <c r="W29" s="2"/>
      <c r="X29" s="2"/>
    </row>
    <row r="30" spans="1:30" x14ac:dyDescent="0.25">
      <c r="A30" s="5" t="s">
        <v>57</v>
      </c>
      <c r="B30" s="4">
        <f>737281080</f>
        <v>737281080</v>
      </c>
      <c r="C30" s="4">
        <v>133706950</v>
      </c>
      <c r="D30" s="4">
        <v>117651</v>
      </c>
      <c r="E30" s="4">
        <f t="shared" si="9"/>
        <v>133589299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>
        <f t="shared" si="10"/>
        <v>133706950</v>
      </c>
      <c r="Q30" s="4">
        <f t="shared" si="11"/>
        <v>117651</v>
      </c>
      <c r="R30" s="6">
        <f t="shared" si="12"/>
        <v>133589299</v>
      </c>
      <c r="S30" s="43">
        <f t="shared" si="13"/>
        <v>99.912008313703964</v>
      </c>
      <c r="T30" s="34"/>
      <c r="U30" s="38"/>
      <c r="V30" s="38"/>
      <c r="W30" s="2"/>
      <c r="X30" s="2"/>
    </row>
    <row r="31" spans="1:30" x14ac:dyDescent="0.25">
      <c r="A31" s="5" t="s">
        <v>66</v>
      </c>
      <c r="B31" s="4">
        <f>47254560+28654560</f>
        <v>75909120</v>
      </c>
      <c r="C31" s="4">
        <v>43954560</v>
      </c>
      <c r="D31" s="4">
        <v>0</v>
      </c>
      <c r="E31" s="4">
        <f t="shared" si="9"/>
        <v>43954560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>
        <f t="shared" si="10"/>
        <v>43954560</v>
      </c>
      <c r="Q31" s="4">
        <f t="shared" si="11"/>
        <v>0</v>
      </c>
      <c r="R31" s="6">
        <f t="shared" si="12"/>
        <v>43954560</v>
      </c>
      <c r="S31" s="43">
        <f t="shared" si="13"/>
        <v>100</v>
      </c>
      <c r="T31" s="34"/>
      <c r="U31" s="38"/>
      <c r="V31" s="38"/>
      <c r="W31" s="2"/>
      <c r="X31" s="2"/>
    </row>
    <row r="32" spans="1:30" x14ac:dyDescent="0.25">
      <c r="A32" s="5" t="s">
        <v>90</v>
      </c>
      <c r="B32" s="4">
        <v>1500000000</v>
      </c>
      <c r="C32" s="4">
        <v>0</v>
      </c>
      <c r="D32" s="4">
        <v>0</v>
      </c>
      <c r="E32" s="4">
        <f t="shared" si="9"/>
        <v>0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>
        <f t="shared" si="10"/>
        <v>0</v>
      </c>
      <c r="Q32" s="4">
        <f t="shared" si="11"/>
        <v>0</v>
      </c>
      <c r="R32" s="6">
        <f t="shared" si="12"/>
        <v>0</v>
      </c>
      <c r="S32" s="43">
        <v>0</v>
      </c>
      <c r="T32" s="34"/>
      <c r="U32" s="38"/>
      <c r="V32" s="38"/>
      <c r="W32" s="2"/>
      <c r="X32" s="2"/>
    </row>
    <row r="33" spans="1:27" x14ac:dyDescent="0.25">
      <c r="A33" s="5" t="s">
        <v>91</v>
      </c>
      <c r="B33" s="4">
        <v>150000000</v>
      </c>
      <c r="C33" s="4">
        <v>0</v>
      </c>
      <c r="D33" s="4">
        <v>0</v>
      </c>
      <c r="E33" s="4">
        <f t="shared" si="9"/>
        <v>0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>
        <f t="shared" si="10"/>
        <v>0</v>
      </c>
      <c r="Q33" s="4">
        <f t="shared" si="11"/>
        <v>0</v>
      </c>
      <c r="R33" s="6">
        <f t="shared" si="12"/>
        <v>0</v>
      </c>
      <c r="S33" s="43">
        <v>0</v>
      </c>
      <c r="T33" s="34"/>
      <c r="U33" s="38"/>
      <c r="V33" s="38"/>
      <c r="W33" s="2"/>
      <c r="X33" s="2"/>
    </row>
    <row r="34" spans="1:27" x14ac:dyDescent="0.25">
      <c r="A34" s="12" t="s">
        <v>52</v>
      </c>
      <c r="B34" s="8">
        <f t="shared" ref="B34:R34" si="14">SUM(B25:B33)</f>
        <v>14369801170</v>
      </c>
      <c r="C34" s="8">
        <f t="shared" si="14"/>
        <v>488383161.69468665</v>
      </c>
      <c r="D34" s="8">
        <f t="shared" si="14"/>
        <v>106145017.64</v>
      </c>
      <c r="E34" s="8">
        <f t="shared" si="14"/>
        <v>382238144.05468667</v>
      </c>
      <c r="F34" s="8">
        <f t="shared" si="14"/>
        <v>0</v>
      </c>
      <c r="G34" s="8">
        <f t="shared" si="14"/>
        <v>0</v>
      </c>
      <c r="H34" s="8">
        <f t="shared" si="14"/>
        <v>0</v>
      </c>
      <c r="I34" s="8">
        <f t="shared" si="14"/>
        <v>0</v>
      </c>
      <c r="J34" s="8">
        <f t="shared" si="14"/>
        <v>0</v>
      </c>
      <c r="K34" s="8">
        <f t="shared" si="14"/>
        <v>0</v>
      </c>
      <c r="L34" s="8">
        <f t="shared" si="14"/>
        <v>0</v>
      </c>
      <c r="M34" s="8">
        <f t="shared" si="14"/>
        <v>0</v>
      </c>
      <c r="N34" s="8">
        <f t="shared" si="14"/>
        <v>0</v>
      </c>
      <c r="O34" s="8">
        <f t="shared" si="14"/>
        <v>0</v>
      </c>
      <c r="P34" s="8">
        <f t="shared" si="14"/>
        <v>488383161.69468665</v>
      </c>
      <c r="Q34" s="8">
        <f t="shared" si="14"/>
        <v>106145017.64</v>
      </c>
      <c r="R34" s="8">
        <f t="shared" si="14"/>
        <v>382238144.05468667</v>
      </c>
      <c r="S34" s="31">
        <f>+R34/P34</f>
        <v>0.78266036594775834</v>
      </c>
      <c r="T34" s="34"/>
      <c r="U34" s="39"/>
      <c r="V34" s="39"/>
      <c r="W34" s="2"/>
    </row>
    <row r="35" spans="1:27" x14ac:dyDescent="0.25">
      <c r="A35" s="5" t="s">
        <v>54</v>
      </c>
      <c r="B35" s="4">
        <v>315108512</v>
      </c>
      <c r="C35" s="4">
        <v>26259042.681200095</v>
      </c>
      <c r="D35" s="4">
        <v>20905207</v>
      </c>
      <c r="E35" s="4">
        <f t="shared" si="9"/>
        <v>5353835.6812000945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>
        <f t="shared" ref="P35:P66" si="15">+C35</f>
        <v>26259042.681200095</v>
      </c>
      <c r="Q35" s="4">
        <f t="shared" ref="Q35:Q66" si="16">+D35</f>
        <v>20905207</v>
      </c>
      <c r="R35" s="6">
        <f t="shared" ref="R35:R66" si="17">+E35</f>
        <v>5353835.6812000945</v>
      </c>
      <c r="S35" s="43">
        <f t="shared" ref="S35:S86" si="18">+R35/P35*100</f>
        <v>20.388540992140282</v>
      </c>
      <c r="T35" s="34"/>
      <c r="U35" s="38"/>
      <c r="V35" s="38"/>
      <c r="W35" s="2"/>
      <c r="X35" s="2"/>
      <c r="AA35" s="2"/>
    </row>
    <row r="36" spans="1:27" x14ac:dyDescent="0.25">
      <c r="A36" s="5" t="s">
        <v>55</v>
      </c>
      <c r="B36" s="4">
        <v>229762301</v>
      </c>
      <c r="C36" s="4">
        <v>19146858.412866898</v>
      </c>
      <c r="D36" s="4">
        <v>18068114</v>
      </c>
      <c r="E36" s="4">
        <f t="shared" si="9"/>
        <v>1078744.4128668979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>
        <f t="shared" si="15"/>
        <v>19146858.412866898</v>
      </c>
      <c r="Q36" s="4">
        <f t="shared" si="16"/>
        <v>18068114</v>
      </c>
      <c r="R36" s="6">
        <f t="shared" si="17"/>
        <v>1078744.4128668979</v>
      </c>
      <c r="S36" s="43">
        <f t="shared" si="18"/>
        <v>5.6340543686371536</v>
      </c>
      <c r="T36" s="34"/>
      <c r="U36" s="38"/>
      <c r="V36" s="38"/>
      <c r="W36" s="2"/>
      <c r="X36" s="2"/>
      <c r="AA36" s="2"/>
    </row>
    <row r="37" spans="1:27" x14ac:dyDescent="0.25">
      <c r="A37" s="5" t="s">
        <v>88</v>
      </c>
      <c r="B37" s="4">
        <v>2000000</v>
      </c>
      <c r="C37" s="4">
        <v>0</v>
      </c>
      <c r="D37" s="4">
        <v>0</v>
      </c>
      <c r="E37" s="4">
        <f t="shared" si="9"/>
        <v>0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>
        <f t="shared" si="15"/>
        <v>0</v>
      </c>
      <c r="Q37" s="4">
        <f t="shared" si="16"/>
        <v>0</v>
      </c>
      <c r="R37" s="6">
        <f t="shared" si="17"/>
        <v>0</v>
      </c>
      <c r="S37" s="43">
        <v>0</v>
      </c>
      <c r="T37" s="34"/>
      <c r="U37" s="38"/>
      <c r="V37" s="38"/>
      <c r="W37" s="2"/>
      <c r="X37" s="2"/>
      <c r="AA37" s="2"/>
    </row>
    <row r="38" spans="1:27" x14ac:dyDescent="0.25">
      <c r="A38" s="5" t="s">
        <v>18</v>
      </c>
      <c r="B38" s="4">
        <v>12120000</v>
      </c>
      <c r="C38" s="4">
        <v>760000</v>
      </c>
      <c r="D38" s="4">
        <v>794000</v>
      </c>
      <c r="E38" s="4">
        <f t="shared" si="9"/>
        <v>-34000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>
        <f t="shared" si="15"/>
        <v>760000</v>
      </c>
      <c r="Q38" s="4">
        <f t="shared" si="16"/>
        <v>794000</v>
      </c>
      <c r="R38" s="6">
        <f t="shared" si="17"/>
        <v>-34000</v>
      </c>
      <c r="S38" s="43">
        <f t="shared" si="18"/>
        <v>-4.4736842105263159</v>
      </c>
      <c r="T38" s="34"/>
      <c r="U38" s="38"/>
      <c r="V38" s="38"/>
      <c r="W38" s="2"/>
      <c r="X38" s="2"/>
    </row>
    <row r="39" spans="1:27" x14ac:dyDescent="0.25">
      <c r="A39" s="5" t="s">
        <v>71</v>
      </c>
      <c r="B39" s="4">
        <v>10000000</v>
      </c>
      <c r="C39" s="4">
        <v>0</v>
      </c>
      <c r="D39" s="4">
        <v>0</v>
      </c>
      <c r="E39" s="4">
        <f t="shared" si="9"/>
        <v>0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>
        <f t="shared" si="15"/>
        <v>0</v>
      </c>
      <c r="Q39" s="4">
        <f t="shared" si="16"/>
        <v>0</v>
      </c>
      <c r="R39" s="6">
        <f t="shared" si="17"/>
        <v>0</v>
      </c>
      <c r="S39" s="43">
        <v>0</v>
      </c>
      <c r="T39" s="34"/>
      <c r="U39" s="38"/>
      <c r="V39" s="38"/>
      <c r="W39" s="2"/>
      <c r="X39" s="2"/>
    </row>
    <row r="40" spans="1:27" x14ac:dyDescent="0.25">
      <c r="A40" s="5" t="s">
        <v>84</v>
      </c>
      <c r="B40" s="4">
        <v>13500000</v>
      </c>
      <c r="C40" s="4">
        <v>0</v>
      </c>
      <c r="D40" s="4">
        <v>0</v>
      </c>
      <c r="E40" s="4">
        <f t="shared" si="9"/>
        <v>0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>
        <f t="shared" si="15"/>
        <v>0</v>
      </c>
      <c r="Q40" s="4">
        <f t="shared" si="16"/>
        <v>0</v>
      </c>
      <c r="R40" s="6">
        <f t="shared" si="17"/>
        <v>0</v>
      </c>
      <c r="S40" s="43">
        <v>0</v>
      </c>
      <c r="T40" s="34"/>
      <c r="U40" s="38"/>
      <c r="V40" s="38"/>
      <c r="W40" s="2"/>
      <c r="X40" s="2"/>
    </row>
    <row r="41" spans="1:27" x14ac:dyDescent="0.25">
      <c r="A41" s="5" t="s">
        <v>19</v>
      </c>
      <c r="B41" s="4">
        <v>134400000</v>
      </c>
      <c r="C41" s="4">
        <v>11200000</v>
      </c>
      <c r="D41" s="4">
        <v>10666000</v>
      </c>
      <c r="E41" s="4">
        <f t="shared" si="9"/>
        <v>534000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>
        <f t="shared" si="15"/>
        <v>11200000</v>
      </c>
      <c r="Q41" s="4">
        <f t="shared" si="16"/>
        <v>10666000</v>
      </c>
      <c r="R41" s="6">
        <f t="shared" si="17"/>
        <v>534000</v>
      </c>
      <c r="S41" s="43">
        <f t="shared" si="18"/>
        <v>4.7678571428571432</v>
      </c>
      <c r="T41" s="34"/>
      <c r="U41" s="38"/>
      <c r="V41" s="38"/>
      <c r="W41" s="2"/>
      <c r="X41" s="2"/>
    </row>
    <row r="42" spans="1:27" ht="30" x14ac:dyDescent="0.25">
      <c r="A42" s="21" t="s">
        <v>89</v>
      </c>
      <c r="B42" s="4">
        <v>27000000</v>
      </c>
      <c r="C42" s="4">
        <v>0</v>
      </c>
      <c r="D42" s="4">
        <v>0</v>
      </c>
      <c r="E42" s="4">
        <f t="shared" si="9"/>
        <v>0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4">
        <f t="shared" si="15"/>
        <v>0</v>
      </c>
      <c r="Q42" s="4">
        <f t="shared" si="16"/>
        <v>0</v>
      </c>
      <c r="R42" s="6">
        <f t="shared" si="17"/>
        <v>0</v>
      </c>
      <c r="S42" s="43">
        <v>0</v>
      </c>
      <c r="T42" s="34"/>
      <c r="U42" s="38"/>
      <c r="V42" s="38"/>
      <c r="W42" s="2"/>
      <c r="X42" s="2"/>
    </row>
    <row r="43" spans="1:27" x14ac:dyDescent="0.25">
      <c r="A43" s="5" t="s">
        <v>72</v>
      </c>
      <c r="B43" s="4">
        <v>93058000</v>
      </c>
      <c r="C43" s="4">
        <v>5760000</v>
      </c>
      <c r="D43" s="4">
        <v>2176000</v>
      </c>
      <c r="E43" s="4">
        <f t="shared" si="9"/>
        <v>3584000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>
        <f t="shared" si="15"/>
        <v>5760000</v>
      </c>
      <c r="Q43" s="4">
        <f t="shared" si="16"/>
        <v>2176000</v>
      </c>
      <c r="R43" s="6">
        <f t="shared" si="17"/>
        <v>3584000</v>
      </c>
      <c r="S43" s="43">
        <f t="shared" si="18"/>
        <v>62.222222222222221</v>
      </c>
      <c r="T43" s="34"/>
      <c r="U43" s="38"/>
      <c r="V43" s="38"/>
      <c r="W43" s="2"/>
      <c r="X43" s="2"/>
    </row>
    <row r="44" spans="1:27" ht="60" x14ac:dyDescent="0.25">
      <c r="A44" s="21" t="s">
        <v>65</v>
      </c>
      <c r="B44" s="4">
        <v>10140000</v>
      </c>
      <c r="C44" s="4">
        <v>3980000</v>
      </c>
      <c r="D44" s="4">
        <v>0</v>
      </c>
      <c r="E44" s="4">
        <f t="shared" si="9"/>
        <v>3980000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>
        <f t="shared" si="15"/>
        <v>3980000</v>
      </c>
      <c r="Q44" s="4">
        <f t="shared" si="16"/>
        <v>0</v>
      </c>
      <c r="R44" s="6">
        <f t="shared" si="17"/>
        <v>3980000</v>
      </c>
      <c r="S44" s="43">
        <f t="shared" si="18"/>
        <v>100</v>
      </c>
      <c r="T44" s="34"/>
      <c r="U44" s="38"/>
      <c r="V44" s="38"/>
      <c r="W44" s="2"/>
      <c r="X44" s="2"/>
    </row>
    <row r="45" spans="1:27" ht="45" x14ac:dyDescent="0.25">
      <c r="A45" s="21" t="s">
        <v>20</v>
      </c>
      <c r="B45" s="4">
        <v>4000000</v>
      </c>
      <c r="C45" s="4">
        <v>0</v>
      </c>
      <c r="D45" s="4">
        <v>0</v>
      </c>
      <c r="E45" s="4">
        <f t="shared" si="9"/>
        <v>0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>
        <f t="shared" si="15"/>
        <v>0</v>
      </c>
      <c r="Q45" s="4">
        <f t="shared" si="16"/>
        <v>0</v>
      </c>
      <c r="R45" s="6">
        <f t="shared" si="17"/>
        <v>0</v>
      </c>
      <c r="S45" s="43">
        <v>0</v>
      </c>
      <c r="T45" s="34"/>
      <c r="U45" s="38"/>
      <c r="V45" s="38"/>
      <c r="W45" s="2"/>
      <c r="X45" s="2"/>
    </row>
    <row r="46" spans="1:27" x14ac:dyDescent="0.25">
      <c r="A46" s="5" t="s">
        <v>21</v>
      </c>
      <c r="B46" s="4">
        <v>13200000</v>
      </c>
      <c r="C46" s="4">
        <v>500000</v>
      </c>
      <c r="D46" s="4">
        <v>0</v>
      </c>
      <c r="E46" s="4">
        <f t="shared" si="9"/>
        <v>500000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>
        <f t="shared" si="15"/>
        <v>500000</v>
      </c>
      <c r="Q46" s="4">
        <f t="shared" si="16"/>
        <v>0</v>
      </c>
      <c r="R46" s="6">
        <f t="shared" si="17"/>
        <v>500000</v>
      </c>
      <c r="S46" s="43">
        <f t="shared" si="18"/>
        <v>100</v>
      </c>
      <c r="T46" s="34"/>
      <c r="U46" s="38"/>
      <c r="V46" s="38"/>
      <c r="W46" s="2"/>
      <c r="X46" s="2"/>
    </row>
    <row r="47" spans="1:27" x14ac:dyDescent="0.25">
      <c r="A47" s="5" t="s">
        <v>22</v>
      </c>
      <c r="B47" s="4">
        <v>16200000</v>
      </c>
      <c r="C47" s="4">
        <v>1350000</v>
      </c>
      <c r="D47" s="4">
        <v>0</v>
      </c>
      <c r="E47" s="4">
        <f t="shared" si="9"/>
        <v>1350000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>
        <f t="shared" si="15"/>
        <v>1350000</v>
      </c>
      <c r="Q47" s="4">
        <f t="shared" si="16"/>
        <v>0</v>
      </c>
      <c r="R47" s="6">
        <f t="shared" si="17"/>
        <v>1350000</v>
      </c>
      <c r="S47" s="43">
        <f t="shared" si="18"/>
        <v>100</v>
      </c>
      <c r="T47" s="34"/>
      <c r="U47" s="38"/>
      <c r="V47" s="38"/>
      <c r="W47" s="2"/>
      <c r="X47" s="2"/>
    </row>
    <row r="48" spans="1:27" x14ac:dyDescent="0.25">
      <c r="A48" s="21" t="s">
        <v>85</v>
      </c>
      <c r="B48" s="4">
        <v>6000000</v>
      </c>
      <c r="C48" s="4">
        <v>500000</v>
      </c>
      <c r="D48" s="4">
        <v>466260</v>
      </c>
      <c r="E48" s="4">
        <f t="shared" si="9"/>
        <v>33740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>
        <f t="shared" si="15"/>
        <v>500000</v>
      </c>
      <c r="Q48" s="4">
        <f t="shared" si="16"/>
        <v>466260</v>
      </c>
      <c r="R48" s="6">
        <f t="shared" si="17"/>
        <v>33740</v>
      </c>
      <c r="S48" s="43">
        <f t="shared" si="18"/>
        <v>6.7480000000000002</v>
      </c>
      <c r="T48" s="34"/>
      <c r="U48" s="38"/>
      <c r="V48" s="38"/>
      <c r="W48" s="2"/>
      <c r="X48" s="2"/>
    </row>
    <row r="49" spans="1:24" x14ac:dyDescent="0.25">
      <c r="A49" s="5" t="s">
        <v>23</v>
      </c>
      <c r="B49" s="4">
        <v>12892000</v>
      </c>
      <c r="C49" s="4">
        <v>0</v>
      </c>
      <c r="D49" s="4">
        <v>0</v>
      </c>
      <c r="E49" s="4">
        <f t="shared" si="9"/>
        <v>0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>
        <f t="shared" si="15"/>
        <v>0</v>
      </c>
      <c r="Q49" s="4">
        <f t="shared" si="16"/>
        <v>0</v>
      </c>
      <c r="R49" s="6">
        <f t="shared" si="17"/>
        <v>0</v>
      </c>
      <c r="S49" s="43">
        <v>0</v>
      </c>
      <c r="T49" s="34"/>
      <c r="U49" s="38"/>
      <c r="V49" s="38"/>
      <c r="W49" s="2"/>
      <c r="X49" s="2"/>
    </row>
    <row r="50" spans="1:24" ht="30" x14ac:dyDescent="0.25">
      <c r="A50" s="21" t="s">
        <v>37</v>
      </c>
      <c r="B50" s="4">
        <v>47040000</v>
      </c>
      <c r="C50" s="4">
        <v>3920000</v>
      </c>
      <c r="D50" s="4">
        <v>4201894</v>
      </c>
      <c r="E50" s="4">
        <f t="shared" si="9"/>
        <v>-281894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>
        <f t="shared" si="15"/>
        <v>3920000</v>
      </c>
      <c r="Q50" s="4">
        <f t="shared" si="16"/>
        <v>4201894</v>
      </c>
      <c r="R50" s="6">
        <f t="shared" si="17"/>
        <v>-281894</v>
      </c>
      <c r="S50" s="43">
        <f t="shared" si="18"/>
        <v>-7.1911734693877554</v>
      </c>
      <c r="T50" s="34">
        <f>+D50+D53+D85+D86</f>
        <v>63447894</v>
      </c>
      <c r="U50" s="38">
        <f>+C50+C52+C53+C54+C58+C66+C74+C85+C86</f>
        <v>83125000</v>
      </c>
      <c r="V50" s="38"/>
      <c r="W50" s="2"/>
      <c r="X50" s="2"/>
    </row>
    <row r="51" spans="1:24" ht="30" hidden="1" x14ac:dyDescent="0.25">
      <c r="A51" s="21" t="s">
        <v>24</v>
      </c>
      <c r="B51" s="4"/>
      <c r="C51" s="4">
        <v>0</v>
      </c>
      <c r="D51" s="4">
        <v>0</v>
      </c>
      <c r="E51" s="4">
        <f t="shared" si="9"/>
        <v>0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4">
        <f t="shared" si="15"/>
        <v>0</v>
      </c>
      <c r="Q51" s="4">
        <f t="shared" si="16"/>
        <v>0</v>
      </c>
      <c r="R51" s="6">
        <f t="shared" si="17"/>
        <v>0</v>
      </c>
      <c r="S51" s="43" t="e">
        <f t="shared" si="18"/>
        <v>#DIV/0!</v>
      </c>
      <c r="T51" s="34"/>
      <c r="U51" s="38"/>
      <c r="V51" s="38"/>
      <c r="W51" s="2"/>
      <c r="X51" s="2"/>
    </row>
    <row r="52" spans="1:24" x14ac:dyDescent="0.25">
      <c r="A52" s="21" t="s">
        <v>25</v>
      </c>
      <c r="B52" s="4">
        <v>39840000</v>
      </c>
      <c r="C52" s="4">
        <v>3320000</v>
      </c>
      <c r="D52" s="4">
        <v>0</v>
      </c>
      <c r="E52" s="4">
        <f t="shared" si="9"/>
        <v>3320000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>
        <f t="shared" si="15"/>
        <v>3320000</v>
      </c>
      <c r="Q52" s="4">
        <f t="shared" si="16"/>
        <v>0</v>
      </c>
      <c r="R52" s="6">
        <f t="shared" si="17"/>
        <v>3320000</v>
      </c>
      <c r="S52" s="43">
        <f t="shared" si="18"/>
        <v>100</v>
      </c>
      <c r="T52" s="34"/>
      <c r="U52" s="38"/>
      <c r="V52" s="38"/>
      <c r="W52" s="2"/>
      <c r="X52" s="2"/>
    </row>
    <row r="53" spans="1:24" x14ac:dyDescent="0.25">
      <c r="A53" s="5" t="s">
        <v>60</v>
      </c>
      <c r="B53" s="4">
        <v>40200000</v>
      </c>
      <c r="C53" s="4">
        <v>3350000</v>
      </c>
      <c r="D53" s="4">
        <v>3350000</v>
      </c>
      <c r="E53" s="4">
        <f t="shared" si="9"/>
        <v>0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>
        <f t="shared" si="15"/>
        <v>3350000</v>
      </c>
      <c r="Q53" s="4">
        <f t="shared" si="16"/>
        <v>3350000</v>
      </c>
      <c r="R53" s="6">
        <f t="shared" si="17"/>
        <v>0</v>
      </c>
      <c r="S53" s="43">
        <f t="shared" si="18"/>
        <v>0</v>
      </c>
      <c r="T53" s="34"/>
      <c r="U53" s="38"/>
      <c r="V53" s="38"/>
      <c r="W53" s="2"/>
      <c r="X53" s="2"/>
    </row>
    <row r="54" spans="1:24" x14ac:dyDescent="0.25">
      <c r="A54" s="5" t="s">
        <v>26</v>
      </c>
      <c r="B54" s="4">
        <v>40080000</v>
      </c>
      <c r="C54" s="4">
        <v>3340000</v>
      </c>
      <c r="D54" s="4">
        <v>0</v>
      </c>
      <c r="E54" s="4">
        <f t="shared" si="9"/>
        <v>3340000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>
        <f t="shared" si="15"/>
        <v>3340000</v>
      </c>
      <c r="Q54" s="4">
        <f t="shared" si="16"/>
        <v>0</v>
      </c>
      <c r="R54" s="6">
        <f t="shared" si="17"/>
        <v>3340000</v>
      </c>
      <c r="S54" s="43">
        <f t="shared" si="18"/>
        <v>100</v>
      </c>
      <c r="T54" s="34"/>
      <c r="U54" s="38"/>
      <c r="V54" s="38"/>
      <c r="W54" s="2"/>
      <c r="X54" s="2"/>
    </row>
    <row r="55" spans="1:24" x14ac:dyDescent="0.25">
      <c r="A55" s="5" t="s">
        <v>92</v>
      </c>
      <c r="B55" s="4">
        <v>70450000</v>
      </c>
      <c r="C55" s="4">
        <v>1700000</v>
      </c>
      <c r="D55" s="4">
        <v>0</v>
      </c>
      <c r="E55" s="4">
        <f t="shared" si="9"/>
        <v>1700000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>
        <f t="shared" si="15"/>
        <v>1700000</v>
      </c>
      <c r="Q55" s="4">
        <f t="shared" si="16"/>
        <v>0</v>
      </c>
      <c r="R55" s="6">
        <f t="shared" si="17"/>
        <v>1700000</v>
      </c>
      <c r="S55" s="43">
        <f t="shared" si="18"/>
        <v>100</v>
      </c>
      <c r="T55" s="34"/>
      <c r="U55" s="38"/>
      <c r="V55" s="38"/>
      <c r="W55" s="2"/>
      <c r="X55" s="2"/>
    </row>
    <row r="56" spans="1:24" x14ac:dyDescent="0.25">
      <c r="A56" s="5" t="s">
        <v>73</v>
      </c>
      <c r="B56" s="4">
        <v>500000</v>
      </c>
      <c r="C56" s="4">
        <v>0</v>
      </c>
      <c r="D56" s="4">
        <v>0</v>
      </c>
      <c r="E56" s="4">
        <f t="shared" si="9"/>
        <v>0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>
        <f t="shared" si="15"/>
        <v>0</v>
      </c>
      <c r="Q56" s="4">
        <f t="shared" si="16"/>
        <v>0</v>
      </c>
      <c r="R56" s="6">
        <f t="shared" si="17"/>
        <v>0</v>
      </c>
      <c r="S56" s="43">
        <v>0</v>
      </c>
      <c r="T56" s="34"/>
      <c r="U56" s="38"/>
      <c r="V56" s="38"/>
      <c r="W56" s="2"/>
      <c r="X56" s="2"/>
    </row>
    <row r="57" spans="1:24" x14ac:dyDescent="0.25">
      <c r="A57" s="5" t="s">
        <v>27</v>
      </c>
      <c r="B57" s="4">
        <v>11377300</v>
      </c>
      <c r="C57" s="4">
        <v>0</v>
      </c>
      <c r="D57" s="4">
        <v>0</v>
      </c>
      <c r="E57" s="4">
        <f t="shared" si="9"/>
        <v>0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>
        <f t="shared" si="15"/>
        <v>0</v>
      </c>
      <c r="Q57" s="4">
        <f t="shared" si="16"/>
        <v>0</v>
      </c>
      <c r="R57" s="6">
        <f t="shared" si="17"/>
        <v>0</v>
      </c>
      <c r="S57" s="43">
        <v>0</v>
      </c>
      <c r="T57" s="34"/>
      <c r="U57" s="38"/>
      <c r="V57" s="38"/>
      <c r="W57" s="2"/>
      <c r="X57" s="2"/>
    </row>
    <row r="58" spans="1:24" x14ac:dyDescent="0.25">
      <c r="A58" s="5" t="s">
        <v>74</v>
      </c>
      <c r="B58" s="4">
        <v>46000000</v>
      </c>
      <c r="C58" s="4">
        <v>2000000</v>
      </c>
      <c r="D58" s="4">
        <v>0</v>
      </c>
      <c r="E58" s="4">
        <f t="shared" si="9"/>
        <v>2000000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>
        <f t="shared" si="15"/>
        <v>2000000</v>
      </c>
      <c r="Q58" s="4">
        <f t="shared" si="16"/>
        <v>0</v>
      </c>
      <c r="R58" s="6">
        <f t="shared" si="17"/>
        <v>2000000</v>
      </c>
      <c r="S58" s="43">
        <f t="shared" si="18"/>
        <v>100</v>
      </c>
      <c r="T58" s="34"/>
      <c r="U58" s="38"/>
      <c r="V58" s="38"/>
      <c r="W58" s="2"/>
      <c r="X58" s="2"/>
    </row>
    <row r="59" spans="1:24" hidden="1" x14ac:dyDescent="0.25">
      <c r="A59" s="5" t="s">
        <v>28</v>
      </c>
      <c r="B59" s="4"/>
      <c r="C59" s="4">
        <v>0</v>
      </c>
      <c r="D59" s="4">
        <v>0</v>
      </c>
      <c r="E59" s="4">
        <f t="shared" si="9"/>
        <v>0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4">
        <f t="shared" si="15"/>
        <v>0</v>
      </c>
      <c r="Q59" s="4">
        <f t="shared" si="16"/>
        <v>0</v>
      </c>
      <c r="R59" s="6">
        <f t="shared" si="17"/>
        <v>0</v>
      </c>
      <c r="S59" s="43" t="e">
        <f t="shared" si="18"/>
        <v>#DIV/0!</v>
      </c>
      <c r="T59" s="34"/>
      <c r="U59" s="38"/>
      <c r="V59" s="38"/>
      <c r="W59" s="2"/>
      <c r="X59" s="2"/>
    </row>
    <row r="60" spans="1:24" hidden="1" x14ac:dyDescent="0.25">
      <c r="A60" s="5" t="s">
        <v>29</v>
      </c>
      <c r="B60" s="4"/>
      <c r="C60" s="4"/>
      <c r="D60" s="4"/>
      <c r="E60" s="4">
        <f t="shared" si="9"/>
        <v>0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>
        <f t="shared" si="15"/>
        <v>0</v>
      </c>
      <c r="Q60" s="4">
        <f t="shared" si="16"/>
        <v>0</v>
      </c>
      <c r="R60" s="6">
        <f t="shared" si="17"/>
        <v>0</v>
      </c>
      <c r="S60" s="43" t="e">
        <f t="shared" si="18"/>
        <v>#DIV/0!</v>
      </c>
      <c r="T60" s="34"/>
      <c r="U60" s="38"/>
      <c r="V60" s="38"/>
      <c r="W60" s="2"/>
      <c r="X60" s="2"/>
    </row>
    <row r="61" spans="1:24" x14ac:dyDescent="0.25">
      <c r="A61" s="5" t="s">
        <v>69</v>
      </c>
      <c r="B61" s="4">
        <v>61200000</v>
      </c>
      <c r="C61" s="4">
        <v>100000</v>
      </c>
      <c r="D61" s="4">
        <v>0</v>
      </c>
      <c r="E61" s="4">
        <f t="shared" si="9"/>
        <v>100000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>
        <f t="shared" si="15"/>
        <v>100000</v>
      </c>
      <c r="Q61" s="4">
        <f t="shared" si="16"/>
        <v>0</v>
      </c>
      <c r="R61" s="6">
        <f t="shared" si="17"/>
        <v>100000</v>
      </c>
      <c r="S61" s="43">
        <f t="shared" si="18"/>
        <v>100</v>
      </c>
      <c r="T61" s="34"/>
      <c r="U61" s="38"/>
      <c r="V61" s="38"/>
      <c r="W61" s="2"/>
      <c r="X61" s="2"/>
    </row>
    <row r="62" spans="1:24" hidden="1" x14ac:dyDescent="0.25">
      <c r="A62" s="5" t="s">
        <v>30</v>
      </c>
      <c r="B62" s="4"/>
      <c r="C62" s="4"/>
      <c r="D62" s="4"/>
      <c r="E62" s="4">
        <f t="shared" si="9"/>
        <v>0</v>
      </c>
      <c r="F62" s="4"/>
      <c r="G62" s="4"/>
      <c r="H62" s="4"/>
      <c r="I62" s="4"/>
      <c r="J62" s="4"/>
      <c r="K62" s="4"/>
      <c r="L62" s="4"/>
      <c r="M62" s="4"/>
      <c r="N62" s="4"/>
      <c r="O62" s="4"/>
      <c r="P62" s="4">
        <f t="shared" si="15"/>
        <v>0</v>
      </c>
      <c r="Q62" s="4">
        <f t="shared" si="16"/>
        <v>0</v>
      </c>
      <c r="R62" s="6">
        <f t="shared" si="17"/>
        <v>0</v>
      </c>
      <c r="S62" s="43" t="e">
        <f t="shared" si="18"/>
        <v>#DIV/0!</v>
      </c>
      <c r="T62" s="34"/>
      <c r="U62" s="38"/>
      <c r="V62" s="38"/>
      <c r="W62" s="2"/>
      <c r="X62" s="2"/>
    </row>
    <row r="63" spans="1:24" hidden="1" x14ac:dyDescent="0.25">
      <c r="A63" s="5" t="s">
        <v>31</v>
      </c>
      <c r="B63" s="4"/>
      <c r="C63" s="4"/>
      <c r="D63" s="4"/>
      <c r="E63" s="4">
        <f t="shared" si="9"/>
        <v>0</v>
      </c>
      <c r="F63" s="4"/>
      <c r="G63" s="4"/>
      <c r="H63" s="4"/>
      <c r="I63" s="4"/>
      <c r="J63" s="4"/>
      <c r="K63" s="4"/>
      <c r="L63" s="4"/>
      <c r="M63" s="4"/>
      <c r="N63" s="4"/>
      <c r="O63" s="4"/>
      <c r="P63" s="4">
        <f t="shared" si="15"/>
        <v>0</v>
      </c>
      <c r="Q63" s="4">
        <f t="shared" si="16"/>
        <v>0</v>
      </c>
      <c r="R63" s="6">
        <f t="shared" si="17"/>
        <v>0</v>
      </c>
      <c r="S63" s="43" t="e">
        <f t="shared" si="18"/>
        <v>#DIV/0!</v>
      </c>
      <c r="T63" s="34"/>
      <c r="U63" s="38"/>
      <c r="V63" s="38"/>
      <c r="W63" s="2"/>
      <c r="X63" s="2"/>
    </row>
    <row r="64" spans="1:24" x14ac:dyDescent="0.25">
      <c r="A64" s="21" t="s">
        <v>32</v>
      </c>
      <c r="B64" s="4">
        <v>32400000</v>
      </c>
      <c r="C64" s="4">
        <v>2700000</v>
      </c>
      <c r="D64" s="4">
        <v>2112800</v>
      </c>
      <c r="E64" s="4">
        <f t="shared" si="9"/>
        <v>587200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4">
        <f t="shared" si="15"/>
        <v>2700000</v>
      </c>
      <c r="Q64" s="4">
        <f t="shared" si="16"/>
        <v>2112800</v>
      </c>
      <c r="R64" s="6">
        <f t="shared" si="17"/>
        <v>587200</v>
      </c>
      <c r="S64" s="43">
        <f t="shared" si="18"/>
        <v>21.748148148148147</v>
      </c>
      <c r="T64" s="34"/>
      <c r="U64" s="38"/>
      <c r="V64" s="38"/>
      <c r="W64" s="2"/>
      <c r="X64" s="2"/>
    </row>
    <row r="65" spans="1:24" x14ac:dyDescent="0.25">
      <c r="A65" s="5" t="s">
        <v>82</v>
      </c>
      <c r="B65" s="4">
        <v>11550000</v>
      </c>
      <c r="C65" s="4">
        <v>0</v>
      </c>
      <c r="D65" s="4">
        <v>0</v>
      </c>
      <c r="E65" s="4">
        <f t="shared" si="9"/>
        <v>0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>
        <f t="shared" si="15"/>
        <v>0</v>
      </c>
      <c r="Q65" s="4">
        <f t="shared" si="16"/>
        <v>0</v>
      </c>
      <c r="R65" s="6">
        <f t="shared" si="17"/>
        <v>0</v>
      </c>
      <c r="S65" s="43">
        <v>0</v>
      </c>
      <c r="T65" s="34"/>
      <c r="U65" s="38"/>
      <c r="V65" s="38"/>
      <c r="W65" s="2"/>
      <c r="X65" s="2"/>
    </row>
    <row r="66" spans="1:24" x14ac:dyDescent="0.25">
      <c r="A66" s="5" t="s">
        <v>81</v>
      </c>
      <c r="B66" s="4">
        <v>36000000</v>
      </c>
      <c r="C66" s="4">
        <v>3000000</v>
      </c>
      <c r="D66" s="4">
        <v>0</v>
      </c>
      <c r="E66" s="4">
        <f t="shared" si="9"/>
        <v>3000000</v>
      </c>
      <c r="F66" s="4"/>
      <c r="G66" s="4"/>
      <c r="H66" s="4"/>
      <c r="I66" s="4"/>
      <c r="J66" s="4"/>
      <c r="K66" s="4"/>
      <c r="L66" s="4"/>
      <c r="M66" s="4"/>
      <c r="N66" s="4"/>
      <c r="O66" s="4"/>
      <c r="P66" s="4">
        <f t="shared" si="15"/>
        <v>3000000</v>
      </c>
      <c r="Q66" s="4">
        <f t="shared" si="16"/>
        <v>0</v>
      </c>
      <c r="R66" s="6">
        <f t="shared" si="17"/>
        <v>3000000</v>
      </c>
      <c r="S66" s="43">
        <f t="shared" si="18"/>
        <v>100</v>
      </c>
      <c r="T66" s="34"/>
      <c r="U66" s="38"/>
      <c r="V66" s="38"/>
      <c r="W66" s="2"/>
      <c r="X66" s="2"/>
    </row>
    <row r="67" spans="1:24" x14ac:dyDescent="0.25">
      <c r="A67" s="5" t="s">
        <v>93</v>
      </c>
      <c r="B67" s="4">
        <v>36000000</v>
      </c>
      <c r="C67" s="4">
        <v>1500000</v>
      </c>
      <c r="D67" s="4">
        <v>2126080</v>
      </c>
      <c r="E67" s="4">
        <f t="shared" si="9"/>
        <v>-626080</v>
      </c>
      <c r="F67" s="4"/>
      <c r="G67" s="4"/>
      <c r="H67" s="4"/>
      <c r="I67" s="4"/>
      <c r="J67" s="4"/>
      <c r="K67" s="4"/>
      <c r="L67" s="4"/>
      <c r="M67" s="4"/>
      <c r="N67" s="4"/>
      <c r="O67" s="4"/>
      <c r="P67" s="4">
        <f t="shared" ref="P67:P86" si="19">+C67</f>
        <v>1500000</v>
      </c>
      <c r="Q67" s="4">
        <f t="shared" ref="Q67:Q86" si="20">+D67</f>
        <v>2126080</v>
      </c>
      <c r="R67" s="6">
        <f t="shared" ref="R67:R86" si="21">+E67</f>
        <v>-626080</v>
      </c>
      <c r="S67" s="43">
        <f t="shared" si="18"/>
        <v>-41.738666666666667</v>
      </c>
      <c r="T67" s="34"/>
      <c r="U67" s="38"/>
      <c r="V67" s="38"/>
      <c r="W67" s="2"/>
      <c r="X67" s="2"/>
    </row>
    <row r="68" spans="1:24" x14ac:dyDescent="0.25">
      <c r="A68" s="5" t="s">
        <v>78</v>
      </c>
      <c r="B68" s="4">
        <v>4000000</v>
      </c>
      <c r="C68" s="4">
        <v>1500000</v>
      </c>
      <c r="D68" s="4">
        <v>7200</v>
      </c>
      <c r="E68" s="4">
        <f t="shared" si="9"/>
        <v>1492800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>
        <f t="shared" si="19"/>
        <v>1500000</v>
      </c>
      <c r="Q68" s="4">
        <f t="shared" si="20"/>
        <v>7200</v>
      </c>
      <c r="R68" s="6">
        <f t="shared" si="21"/>
        <v>1492800</v>
      </c>
      <c r="S68" s="43">
        <f t="shared" si="18"/>
        <v>99.52</v>
      </c>
      <c r="T68" s="34"/>
      <c r="U68" s="38"/>
      <c r="V68" s="38"/>
      <c r="W68" s="2"/>
      <c r="X68" s="2"/>
    </row>
    <row r="69" spans="1:24" x14ac:dyDescent="0.25">
      <c r="A69" s="21" t="s">
        <v>79</v>
      </c>
      <c r="B69" s="4">
        <v>7000000</v>
      </c>
      <c r="C69" s="4">
        <v>0</v>
      </c>
      <c r="D69" s="4">
        <v>0</v>
      </c>
      <c r="E69" s="4">
        <f t="shared" si="9"/>
        <v>0</v>
      </c>
      <c r="F69" s="4"/>
      <c r="G69" s="4"/>
      <c r="H69" s="4"/>
      <c r="I69" s="4"/>
      <c r="J69" s="4"/>
      <c r="K69" s="4"/>
      <c r="L69" s="4"/>
      <c r="M69" s="4"/>
      <c r="N69" s="4"/>
      <c r="O69" s="4"/>
      <c r="P69" s="4">
        <f t="shared" si="19"/>
        <v>0</v>
      </c>
      <c r="Q69" s="4">
        <f t="shared" si="20"/>
        <v>0</v>
      </c>
      <c r="R69" s="6">
        <f t="shared" si="21"/>
        <v>0</v>
      </c>
      <c r="S69" s="43">
        <v>0</v>
      </c>
      <c r="T69" s="34"/>
      <c r="U69" s="38"/>
      <c r="V69" s="38"/>
      <c r="W69" s="2"/>
      <c r="X69" s="2"/>
    </row>
    <row r="70" spans="1:24" ht="30" x14ac:dyDescent="0.25">
      <c r="A70" s="21" t="s">
        <v>77</v>
      </c>
      <c r="B70" s="4">
        <v>7000000</v>
      </c>
      <c r="C70" s="4">
        <v>0</v>
      </c>
      <c r="D70" s="4">
        <v>0</v>
      </c>
      <c r="E70" s="4">
        <f t="shared" si="9"/>
        <v>0</v>
      </c>
      <c r="F70" s="4"/>
      <c r="G70" s="4"/>
      <c r="H70" s="4"/>
      <c r="I70" s="4"/>
      <c r="J70" s="4"/>
      <c r="K70" s="4"/>
      <c r="L70" s="4"/>
      <c r="M70" s="4"/>
      <c r="N70" s="4"/>
      <c r="O70" s="4"/>
      <c r="P70" s="4">
        <f t="shared" si="19"/>
        <v>0</v>
      </c>
      <c r="Q70" s="4">
        <f t="shared" si="20"/>
        <v>0</v>
      </c>
      <c r="R70" s="6">
        <f t="shared" si="21"/>
        <v>0</v>
      </c>
      <c r="S70" s="43">
        <v>0</v>
      </c>
      <c r="T70" s="34"/>
      <c r="U70" s="38"/>
      <c r="V70" s="38"/>
      <c r="W70" s="2"/>
      <c r="X70" s="2"/>
    </row>
    <row r="71" spans="1:24" ht="30" x14ac:dyDescent="0.25">
      <c r="A71" s="21" t="s">
        <v>80</v>
      </c>
      <c r="B71" s="4">
        <v>4000000</v>
      </c>
      <c r="C71" s="4">
        <v>0</v>
      </c>
      <c r="D71" s="4">
        <v>0</v>
      </c>
      <c r="E71" s="4">
        <f t="shared" si="9"/>
        <v>0</v>
      </c>
      <c r="F71" s="4"/>
      <c r="G71" s="4"/>
      <c r="H71" s="4"/>
      <c r="I71" s="4"/>
      <c r="J71" s="4"/>
      <c r="K71" s="4"/>
      <c r="L71" s="4"/>
      <c r="M71" s="4"/>
      <c r="N71" s="4"/>
      <c r="O71" s="4"/>
      <c r="P71" s="4">
        <f t="shared" si="19"/>
        <v>0</v>
      </c>
      <c r="Q71" s="4">
        <f t="shared" si="20"/>
        <v>0</v>
      </c>
      <c r="R71" s="6">
        <f t="shared" si="21"/>
        <v>0</v>
      </c>
      <c r="S71" s="43">
        <v>0</v>
      </c>
      <c r="T71" s="34"/>
      <c r="U71" s="38"/>
      <c r="V71" s="38"/>
      <c r="W71" s="2"/>
      <c r="X71" s="2"/>
    </row>
    <row r="72" spans="1:24" x14ac:dyDescent="0.25">
      <c r="A72" s="21" t="s">
        <v>70</v>
      </c>
      <c r="B72" s="4">
        <v>64800000</v>
      </c>
      <c r="C72" s="4">
        <v>5400000</v>
      </c>
      <c r="D72" s="4">
        <v>5451000</v>
      </c>
      <c r="E72" s="4">
        <f t="shared" si="9"/>
        <v>-51000</v>
      </c>
      <c r="F72" s="4"/>
      <c r="G72" s="4"/>
      <c r="H72" s="4"/>
      <c r="I72" s="4"/>
      <c r="J72" s="4"/>
      <c r="K72" s="4"/>
      <c r="L72" s="4"/>
      <c r="M72" s="4"/>
      <c r="N72" s="4"/>
      <c r="O72" s="4"/>
      <c r="P72" s="4">
        <f t="shared" si="19"/>
        <v>5400000</v>
      </c>
      <c r="Q72" s="4">
        <f t="shared" si="20"/>
        <v>5451000</v>
      </c>
      <c r="R72" s="6">
        <f t="shared" si="21"/>
        <v>-51000</v>
      </c>
      <c r="S72" s="43">
        <f t="shared" si="18"/>
        <v>-0.94444444444444442</v>
      </c>
      <c r="T72" s="34"/>
      <c r="U72" s="38"/>
      <c r="V72" s="38"/>
      <c r="W72" s="2"/>
      <c r="X72" s="2"/>
    </row>
    <row r="73" spans="1:24" ht="30" x14ac:dyDescent="0.25">
      <c r="A73" s="21" t="s">
        <v>33</v>
      </c>
      <c r="B73" s="4">
        <v>27600000</v>
      </c>
      <c r="C73" s="4">
        <v>2300000</v>
      </c>
      <c r="D73" s="4">
        <v>0</v>
      </c>
      <c r="E73" s="4">
        <f t="shared" si="9"/>
        <v>2300000</v>
      </c>
      <c r="F73" s="4"/>
      <c r="G73" s="4"/>
      <c r="H73" s="4"/>
      <c r="I73" s="4"/>
      <c r="J73" s="4"/>
      <c r="K73" s="4"/>
      <c r="L73" s="4"/>
      <c r="M73" s="4"/>
      <c r="N73" s="4"/>
      <c r="O73" s="4"/>
      <c r="P73" s="4">
        <f t="shared" si="19"/>
        <v>2300000</v>
      </c>
      <c r="Q73" s="4">
        <f t="shared" si="20"/>
        <v>0</v>
      </c>
      <c r="R73" s="6">
        <f t="shared" si="21"/>
        <v>2300000</v>
      </c>
      <c r="S73" s="43">
        <f t="shared" si="18"/>
        <v>100</v>
      </c>
      <c r="T73" s="34"/>
      <c r="U73" s="38"/>
      <c r="V73" s="38"/>
      <c r="W73" s="2"/>
      <c r="X73" s="2"/>
    </row>
    <row r="74" spans="1:24" x14ac:dyDescent="0.25">
      <c r="A74" s="5" t="s">
        <v>75</v>
      </c>
      <c r="B74" s="4">
        <v>36000000</v>
      </c>
      <c r="C74" s="4">
        <v>3000000</v>
      </c>
      <c r="D74" s="4">
        <v>0</v>
      </c>
      <c r="E74" s="4">
        <f t="shared" si="9"/>
        <v>3000000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>
        <f t="shared" si="19"/>
        <v>3000000</v>
      </c>
      <c r="Q74" s="4">
        <f t="shared" si="20"/>
        <v>0</v>
      </c>
      <c r="R74" s="6">
        <f t="shared" si="21"/>
        <v>3000000</v>
      </c>
      <c r="S74" s="43">
        <f t="shared" si="18"/>
        <v>100</v>
      </c>
      <c r="T74" s="34"/>
      <c r="U74" s="38"/>
      <c r="V74" s="38"/>
      <c r="W74" s="2"/>
      <c r="X74" s="2"/>
    </row>
    <row r="75" spans="1:24" x14ac:dyDescent="0.25">
      <c r="A75" s="5" t="s">
        <v>87</v>
      </c>
      <c r="B75" s="4">
        <v>18823282</v>
      </c>
      <c r="C75" s="4">
        <v>224000</v>
      </c>
      <c r="D75" s="4">
        <v>0</v>
      </c>
      <c r="E75" s="4">
        <f t="shared" si="9"/>
        <v>224000</v>
      </c>
      <c r="F75" s="4"/>
      <c r="G75" s="4"/>
      <c r="H75" s="4"/>
      <c r="I75" s="4"/>
      <c r="J75" s="4"/>
      <c r="K75" s="4"/>
      <c r="L75" s="4"/>
      <c r="M75" s="4"/>
      <c r="N75" s="4"/>
      <c r="O75" s="4"/>
      <c r="P75" s="4">
        <f t="shared" si="19"/>
        <v>224000</v>
      </c>
      <c r="Q75" s="4">
        <f t="shared" si="20"/>
        <v>0</v>
      </c>
      <c r="R75" s="6">
        <f t="shared" si="21"/>
        <v>224000</v>
      </c>
      <c r="S75" s="43">
        <f t="shared" si="18"/>
        <v>100</v>
      </c>
      <c r="T75" s="34"/>
      <c r="U75" s="38"/>
      <c r="V75" s="38"/>
      <c r="W75" s="2"/>
      <c r="X75" s="2"/>
    </row>
    <row r="76" spans="1:24" x14ac:dyDescent="0.25">
      <c r="A76" s="5" t="s">
        <v>68</v>
      </c>
      <c r="B76" s="4">
        <v>14400000</v>
      </c>
      <c r="C76" s="4">
        <v>1200000</v>
      </c>
      <c r="D76" s="4">
        <v>4473800</v>
      </c>
      <c r="E76" s="4">
        <f t="shared" si="9"/>
        <v>-3273800</v>
      </c>
      <c r="F76" s="4"/>
      <c r="G76" s="4"/>
      <c r="H76" s="4"/>
      <c r="I76" s="4"/>
      <c r="J76" s="4"/>
      <c r="K76" s="4"/>
      <c r="L76" s="4"/>
      <c r="M76" s="4"/>
      <c r="N76" s="4"/>
      <c r="O76" s="4"/>
      <c r="P76" s="4">
        <f t="shared" si="19"/>
        <v>1200000</v>
      </c>
      <c r="Q76" s="4">
        <f t="shared" si="20"/>
        <v>4473800</v>
      </c>
      <c r="R76" s="6">
        <f t="shared" si="21"/>
        <v>-3273800</v>
      </c>
      <c r="S76" s="43">
        <f t="shared" si="18"/>
        <v>-272.81666666666666</v>
      </c>
      <c r="T76" s="34"/>
      <c r="U76" s="38"/>
      <c r="V76" s="38"/>
      <c r="W76" s="2"/>
      <c r="X76" s="2"/>
    </row>
    <row r="77" spans="1:24" x14ac:dyDescent="0.25">
      <c r="A77" s="21" t="s">
        <v>67</v>
      </c>
      <c r="B77" s="4">
        <v>7798000</v>
      </c>
      <c r="C77" s="4">
        <v>519000</v>
      </c>
      <c r="D77" s="4">
        <v>0</v>
      </c>
      <c r="E77" s="4">
        <f t="shared" si="9"/>
        <v>519000</v>
      </c>
      <c r="F77" s="4"/>
      <c r="G77" s="4"/>
      <c r="H77" s="4"/>
      <c r="I77" s="4"/>
      <c r="J77" s="4"/>
      <c r="K77" s="4"/>
      <c r="L77" s="4"/>
      <c r="M77" s="4"/>
      <c r="N77" s="4"/>
      <c r="O77" s="4"/>
      <c r="P77" s="4">
        <f t="shared" si="19"/>
        <v>519000</v>
      </c>
      <c r="Q77" s="4">
        <f t="shared" si="20"/>
        <v>0</v>
      </c>
      <c r="R77" s="6">
        <f t="shared" si="21"/>
        <v>519000</v>
      </c>
      <c r="S77" s="43">
        <f t="shared" si="18"/>
        <v>100</v>
      </c>
      <c r="T77" s="34"/>
      <c r="U77" s="38"/>
      <c r="V77" s="38"/>
      <c r="W77" s="2"/>
      <c r="X77" s="2"/>
    </row>
    <row r="78" spans="1:24" x14ac:dyDescent="0.25">
      <c r="A78" s="21" t="s">
        <v>86</v>
      </c>
      <c r="B78" s="4">
        <v>54736747</v>
      </c>
      <c r="C78" s="4">
        <v>5061458.5192123605</v>
      </c>
      <c r="D78" s="4">
        <v>1210918</v>
      </c>
      <c r="E78" s="4">
        <f t="shared" si="9"/>
        <v>3850540.5192123605</v>
      </c>
      <c r="F78" s="4"/>
      <c r="G78" s="4"/>
      <c r="H78" s="4"/>
      <c r="I78" s="4"/>
      <c r="J78" s="4"/>
      <c r="K78" s="4"/>
      <c r="L78" s="4"/>
      <c r="M78" s="4"/>
      <c r="N78" s="4"/>
      <c r="O78" s="4"/>
      <c r="P78" s="4">
        <f t="shared" si="19"/>
        <v>5061458.5192123605</v>
      </c>
      <c r="Q78" s="4">
        <f t="shared" si="20"/>
        <v>1210918</v>
      </c>
      <c r="R78" s="6">
        <f t="shared" si="21"/>
        <v>3850540.5192123605</v>
      </c>
      <c r="S78" s="43">
        <f t="shared" si="18"/>
        <v>76.075710283832635</v>
      </c>
      <c r="T78" s="34"/>
      <c r="U78" s="38"/>
      <c r="V78" s="38"/>
      <c r="W78" s="2"/>
      <c r="X78" s="2"/>
    </row>
    <row r="79" spans="1:24" x14ac:dyDescent="0.25">
      <c r="A79" s="5" t="s">
        <v>108</v>
      </c>
      <c r="B79" s="4">
        <v>36000000</v>
      </c>
      <c r="C79" s="4">
        <v>3000000</v>
      </c>
      <c r="D79" s="4">
        <v>0</v>
      </c>
      <c r="E79" s="4">
        <f t="shared" si="9"/>
        <v>3000000</v>
      </c>
      <c r="F79" s="4"/>
      <c r="G79" s="4"/>
      <c r="H79" s="4"/>
      <c r="I79" s="4"/>
      <c r="J79" s="4"/>
      <c r="K79" s="4"/>
      <c r="L79" s="4"/>
      <c r="M79" s="4"/>
      <c r="N79" s="4"/>
      <c r="O79" s="4"/>
      <c r="P79" s="4">
        <f t="shared" si="19"/>
        <v>3000000</v>
      </c>
      <c r="Q79" s="4">
        <f t="shared" si="20"/>
        <v>0</v>
      </c>
      <c r="R79" s="6">
        <f t="shared" si="21"/>
        <v>3000000</v>
      </c>
      <c r="S79" s="43">
        <f t="shared" si="18"/>
        <v>100</v>
      </c>
      <c r="T79" s="34"/>
      <c r="U79" s="38"/>
      <c r="V79" s="38"/>
      <c r="W79" s="2"/>
      <c r="X79" s="2"/>
    </row>
    <row r="80" spans="1:24" x14ac:dyDescent="0.25">
      <c r="A80" s="5" t="s">
        <v>76</v>
      </c>
      <c r="B80" s="4">
        <v>15000000</v>
      </c>
      <c r="C80" s="4">
        <v>0</v>
      </c>
      <c r="D80" s="4">
        <v>0</v>
      </c>
      <c r="E80" s="4">
        <f t="shared" si="9"/>
        <v>0</v>
      </c>
      <c r="F80" s="4"/>
      <c r="G80" s="4"/>
      <c r="H80" s="4"/>
      <c r="I80" s="4"/>
      <c r="J80" s="4"/>
      <c r="K80" s="4"/>
      <c r="L80" s="4"/>
      <c r="M80" s="4"/>
      <c r="N80" s="4"/>
      <c r="O80" s="4"/>
      <c r="P80" s="4">
        <f t="shared" si="19"/>
        <v>0</v>
      </c>
      <c r="Q80" s="4">
        <f t="shared" si="20"/>
        <v>0</v>
      </c>
      <c r="R80" s="6">
        <f t="shared" si="21"/>
        <v>0</v>
      </c>
      <c r="S80" s="43">
        <v>0</v>
      </c>
      <c r="T80" s="34"/>
      <c r="U80" s="38"/>
      <c r="V80" s="38"/>
      <c r="W80" s="2"/>
      <c r="X80" s="2"/>
    </row>
    <row r="81" spans="1:27" x14ac:dyDescent="0.25">
      <c r="A81" s="5" t="s">
        <v>61</v>
      </c>
      <c r="B81" s="4">
        <v>12000000</v>
      </c>
      <c r="C81" s="4">
        <v>0</v>
      </c>
      <c r="D81" s="4">
        <v>0</v>
      </c>
      <c r="E81" s="4">
        <f t="shared" si="9"/>
        <v>0</v>
      </c>
      <c r="F81" s="4"/>
      <c r="G81" s="4"/>
      <c r="H81" s="4"/>
      <c r="I81" s="4"/>
      <c r="J81" s="4"/>
      <c r="K81" s="4"/>
      <c r="L81" s="4"/>
      <c r="M81" s="4"/>
      <c r="N81" s="4"/>
      <c r="O81" s="4"/>
      <c r="P81" s="4">
        <f t="shared" si="19"/>
        <v>0</v>
      </c>
      <c r="Q81" s="4">
        <f t="shared" si="20"/>
        <v>0</v>
      </c>
      <c r="R81" s="6">
        <f t="shared" si="21"/>
        <v>0</v>
      </c>
      <c r="S81" s="43">
        <v>0</v>
      </c>
      <c r="T81" s="34"/>
      <c r="U81" s="38"/>
      <c r="V81" s="38"/>
      <c r="W81" s="2"/>
      <c r="X81" s="2"/>
    </row>
    <row r="82" spans="1:27" hidden="1" x14ac:dyDescent="0.25">
      <c r="A82" s="5" t="s">
        <v>34</v>
      </c>
      <c r="B82" s="4"/>
      <c r="C82" s="4"/>
      <c r="D82" s="4"/>
      <c r="E82" s="4">
        <f t="shared" si="9"/>
        <v>0</v>
      </c>
      <c r="F82" s="4"/>
      <c r="G82" s="4"/>
      <c r="H82" s="4"/>
      <c r="I82" s="4"/>
      <c r="J82" s="4"/>
      <c r="K82" s="4"/>
      <c r="L82" s="4"/>
      <c r="M82" s="4"/>
      <c r="N82" s="4"/>
      <c r="O82" s="4"/>
      <c r="P82" s="4">
        <f t="shared" si="19"/>
        <v>0</v>
      </c>
      <c r="Q82" s="4">
        <f t="shared" si="20"/>
        <v>0</v>
      </c>
      <c r="R82" s="6">
        <f t="shared" si="21"/>
        <v>0</v>
      </c>
      <c r="S82" s="43" t="e">
        <f t="shared" si="18"/>
        <v>#DIV/0!</v>
      </c>
      <c r="T82" s="34"/>
      <c r="U82" s="38"/>
      <c r="V82" s="38"/>
      <c r="W82" s="2"/>
      <c r="X82" s="2"/>
    </row>
    <row r="83" spans="1:27" x14ac:dyDescent="0.25">
      <c r="A83" s="5" t="s">
        <v>83</v>
      </c>
      <c r="B83" s="4">
        <v>26000000</v>
      </c>
      <c r="C83" s="4">
        <v>2000000</v>
      </c>
      <c r="D83" s="4">
        <v>0</v>
      </c>
      <c r="E83" s="4">
        <f t="shared" si="9"/>
        <v>2000000</v>
      </c>
      <c r="F83" s="4"/>
      <c r="G83" s="4"/>
      <c r="H83" s="4"/>
      <c r="I83" s="4"/>
      <c r="J83" s="4"/>
      <c r="K83" s="4"/>
      <c r="L83" s="4"/>
      <c r="M83" s="4"/>
      <c r="N83" s="4"/>
      <c r="O83" s="4"/>
      <c r="P83" s="4">
        <f t="shared" si="19"/>
        <v>2000000</v>
      </c>
      <c r="Q83" s="4">
        <f t="shared" si="20"/>
        <v>0</v>
      </c>
      <c r="R83" s="6">
        <f t="shared" si="21"/>
        <v>2000000</v>
      </c>
      <c r="S83" s="43">
        <f t="shared" si="18"/>
        <v>100</v>
      </c>
      <c r="T83" s="34"/>
      <c r="U83" s="38"/>
      <c r="V83" s="38"/>
      <c r="W83" s="2"/>
      <c r="X83" s="2"/>
    </row>
    <row r="84" spans="1:27" hidden="1" x14ac:dyDescent="0.25">
      <c r="A84" s="5" t="s">
        <v>56</v>
      </c>
      <c r="B84" s="4"/>
      <c r="C84" s="4"/>
      <c r="D84" s="4"/>
      <c r="E84" s="4">
        <f t="shared" si="9"/>
        <v>0</v>
      </c>
      <c r="F84" s="4"/>
      <c r="G84" s="4"/>
      <c r="H84" s="4"/>
      <c r="I84" s="4"/>
      <c r="J84" s="4"/>
      <c r="K84" s="4"/>
      <c r="L84" s="4"/>
      <c r="M84" s="4"/>
      <c r="N84" s="4"/>
      <c r="O84" s="4"/>
      <c r="P84" s="4">
        <f t="shared" si="19"/>
        <v>0</v>
      </c>
      <c r="Q84" s="4">
        <f t="shared" si="20"/>
        <v>0</v>
      </c>
      <c r="R84" s="6">
        <f t="shared" si="21"/>
        <v>0</v>
      </c>
      <c r="S84" s="43" t="e">
        <f t="shared" si="18"/>
        <v>#DIV/0!</v>
      </c>
      <c r="T84" s="34"/>
      <c r="U84" s="38"/>
      <c r="V84" s="38"/>
      <c r="W84" s="2"/>
      <c r="X84" s="2"/>
    </row>
    <row r="85" spans="1:27" x14ac:dyDescent="0.25">
      <c r="A85" s="5" t="s">
        <v>38</v>
      </c>
      <c r="B85" s="4">
        <v>25200000</v>
      </c>
      <c r="C85" s="4">
        <v>2100000</v>
      </c>
      <c r="D85" s="4">
        <v>2320000</v>
      </c>
      <c r="E85" s="4">
        <f t="shared" si="9"/>
        <v>-220000</v>
      </c>
      <c r="F85" s="4"/>
      <c r="G85" s="4"/>
      <c r="H85" s="4"/>
      <c r="I85" s="4"/>
      <c r="J85" s="4"/>
      <c r="K85" s="4"/>
      <c r="L85" s="4"/>
      <c r="M85" s="4"/>
      <c r="N85" s="4"/>
      <c r="O85" s="4"/>
      <c r="P85" s="4">
        <f t="shared" si="19"/>
        <v>2100000</v>
      </c>
      <c r="Q85" s="4">
        <f t="shared" si="20"/>
        <v>2320000</v>
      </c>
      <c r="R85" s="6">
        <f t="shared" si="21"/>
        <v>-220000</v>
      </c>
      <c r="S85" s="43">
        <f t="shared" si="18"/>
        <v>-10.476190476190476</v>
      </c>
      <c r="T85" s="34"/>
      <c r="U85" s="38"/>
      <c r="V85" s="38"/>
      <c r="W85" s="2"/>
      <c r="X85" s="2"/>
    </row>
    <row r="86" spans="1:27" x14ac:dyDescent="0.25">
      <c r="A86" s="5" t="s">
        <v>39</v>
      </c>
      <c r="B86" s="4">
        <v>709140000</v>
      </c>
      <c r="C86" s="4">
        <v>59095000</v>
      </c>
      <c r="D86" s="4">
        <v>53576000</v>
      </c>
      <c r="E86" s="4">
        <f t="shared" si="9"/>
        <v>5519000</v>
      </c>
      <c r="F86" s="4"/>
      <c r="G86" s="4"/>
      <c r="H86" s="4"/>
      <c r="I86" s="4"/>
      <c r="J86" s="4"/>
      <c r="K86" s="4"/>
      <c r="L86" s="4"/>
      <c r="M86" s="4"/>
      <c r="N86" s="4"/>
      <c r="O86" s="4"/>
      <c r="P86" s="4">
        <f t="shared" si="19"/>
        <v>59095000</v>
      </c>
      <c r="Q86" s="4">
        <f t="shared" si="20"/>
        <v>53576000</v>
      </c>
      <c r="R86" s="6">
        <f t="shared" si="21"/>
        <v>5519000</v>
      </c>
      <c r="S86" s="43">
        <f t="shared" si="18"/>
        <v>9.3391995938742696</v>
      </c>
      <c r="T86" s="34"/>
      <c r="U86" s="38"/>
      <c r="V86" s="38"/>
      <c r="W86" s="2"/>
      <c r="X86" s="2"/>
    </row>
    <row r="87" spans="1:27" x14ac:dyDescent="0.25">
      <c r="A87" s="12" t="s">
        <v>53</v>
      </c>
      <c r="B87" s="8">
        <f>SUM(B35:B86)</f>
        <v>2441516142</v>
      </c>
      <c r="C87" s="8">
        <f>SUM(C35:C86)</f>
        <v>179785359.61327934</v>
      </c>
      <c r="D87" s="8">
        <f>SUM(D35:D86)</f>
        <v>131905273</v>
      </c>
      <c r="E87" s="8">
        <f>SUM(E35:E86)</f>
        <v>47880086.61327935</v>
      </c>
      <c r="F87" s="8">
        <f t="shared" ref="F87:R87" si="22">SUM(F35:F86)</f>
        <v>0</v>
      </c>
      <c r="G87" s="8">
        <f t="shared" si="22"/>
        <v>0</v>
      </c>
      <c r="H87" s="8">
        <f t="shared" si="22"/>
        <v>0</v>
      </c>
      <c r="I87" s="8">
        <f t="shared" si="22"/>
        <v>0</v>
      </c>
      <c r="J87" s="8">
        <f t="shared" si="22"/>
        <v>0</v>
      </c>
      <c r="K87" s="8">
        <f t="shared" si="22"/>
        <v>0</v>
      </c>
      <c r="L87" s="8">
        <f t="shared" si="22"/>
        <v>0</v>
      </c>
      <c r="M87" s="8">
        <f t="shared" si="22"/>
        <v>0</v>
      </c>
      <c r="N87" s="8">
        <f t="shared" si="22"/>
        <v>0</v>
      </c>
      <c r="O87" s="8">
        <f t="shared" si="22"/>
        <v>0</v>
      </c>
      <c r="P87" s="8">
        <f t="shared" si="22"/>
        <v>179785359.61327934</v>
      </c>
      <c r="Q87" s="8">
        <f t="shared" si="22"/>
        <v>131905273</v>
      </c>
      <c r="R87" s="8">
        <f t="shared" si="22"/>
        <v>47880086.61327935</v>
      </c>
      <c r="S87" s="31">
        <f>+R87/P87</f>
        <v>0.26631805123770946</v>
      </c>
      <c r="T87" s="34"/>
      <c r="U87" s="39"/>
      <c r="V87" s="39"/>
      <c r="W87" s="2"/>
      <c r="X87" s="2"/>
      <c r="Z87" s="2"/>
    </row>
    <row r="88" spans="1:27" s="1" customFormat="1" x14ac:dyDescent="0.25">
      <c r="A88" s="12" t="s">
        <v>62</v>
      </c>
      <c r="B88" s="15">
        <f t="shared" ref="B88:R88" si="23">+B87+B34+B24</f>
        <v>23298301636</v>
      </c>
      <c r="C88" s="15">
        <f t="shared" si="23"/>
        <v>1203981993.2146487</v>
      </c>
      <c r="D88" s="15">
        <f t="shared" si="23"/>
        <v>334717391.36000001</v>
      </c>
      <c r="E88" s="15">
        <f t="shared" si="23"/>
        <v>869264601.85464871</v>
      </c>
      <c r="F88" s="15">
        <f t="shared" si="23"/>
        <v>0</v>
      </c>
      <c r="G88" s="15">
        <f t="shared" si="23"/>
        <v>0</v>
      </c>
      <c r="H88" s="15">
        <f t="shared" si="23"/>
        <v>0</v>
      </c>
      <c r="I88" s="15">
        <f t="shared" si="23"/>
        <v>0</v>
      </c>
      <c r="J88" s="15">
        <f t="shared" si="23"/>
        <v>0</v>
      </c>
      <c r="K88" s="15">
        <f t="shared" si="23"/>
        <v>0</v>
      </c>
      <c r="L88" s="15">
        <f t="shared" si="23"/>
        <v>0</v>
      </c>
      <c r="M88" s="15">
        <f t="shared" si="23"/>
        <v>0</v>
      </c>
      <c r="N88" s="15">
        <f t="shared" si="23"/>
        <v>0</v>
      </c>
      <c r="O88" s="15">
        <f t="shared" si="23"/>
        <v>0</v>
      </c>
      <c r="P88" s="15">
        <f t="shared" si="23"/>
        <v>1203981993.2146487</v>
      </c>
      <c r="Q88" s="15">
        <f t="shared" si="23"/>
        <v>334717391.36000001</v>
      </c>
      <c r="R88" s="15">
        <f t="shared" si="23"/>
        <v>869264601.85464871</v>
      </c>
      <c r="S88" s="31">
        <f>+R88/P88</f>
        <v>0.72199136428419508</v>
      </c>
      <c r="T88" s="34"/>
      <c r="U88" s="40"/>
      <c r="V88" s="40"/>
      <c r="W88" s="2"/>
      <c r="X88" s="2"/>
    </row>
    <row r="89" spans="1:27" ht="19.5" thickBot="1" x14ac:dyDescent="0.3">
      <c r="A89" s="13" t="s">
        <v>0</v>
      </c>
      <c r="B89" s="9">
        <f t="shared" ref="B89:R89" si="24">+B12-B88</f>
        <v>-18864299629.952744</v>
      </c>
      <c r="C89" s="9">
        <f t="shared" si="24"/>
        <v>-822989643.21464872</v>
      </c>
      <c r="D89" s="9">
        <f t="shared" si="24"/>
        <v>-299698994.05000001</v>
      </c>
      <c r="E89" s="9">
        <f t="shared" si="24"/>
        <v>-523290649.16464871</v>
      </c>
      <c r="F89" s="9">
        <f t="shared" si="24"/>
        <v>0</v>
      </c>
      <c r="G89" s="9">
        <f t="shared" si="24"/>
        <v>0</v>
      </c>
      <c r="H89" s="9">
        <f t="shared" si="24"/>
        <v>0</v>
      </c>
      <c r="I89" s="9">
        <f t="shared" si="24"/>
        <v>0</v>
      </c>
      <c r="J89" s="9">
        <f t="shared" si="24"/>
        <v>0</v>
      </c>
      <c r="K89" s="9">
        <f t="shared" si="24"/>
        <v>0</v>
      </c>
      <c r="L89" s="9">
        <f t="shared" si="24"/>
        <v>0</v>
      </c>
      <c r="M89" s="9">
        <f t="shared" si="24"/>
        <v>0</v>
      </c>
      <c r="N89" s="9">
        <f t="shared" si="24"/>
        <v>0</v>
      </c>
      <c r="O89" s="9">
        <f t="shared" si="24"/>
        <v>0</v>
      </c>
      <c r="P89" s="9">
        <f t="shared" si="24"/>
        <v>-822989643.21464872</v>
      </c>
      <c r="Q89" s="9">
        <f t="shared" si="24"/>
        <v>-299698994.05000001</v>
      </c>
      <c r="R89" s="9">
        <f t="shared" si="24"/>
        <v>-523290649.16464871</v>
      </c>
      <c r="S89" s="32">
        <f>+R89/P89</f>
        <v>0.63584111109909347</v>
      </c>
      <c r="T89" s="34"/>
      <c r="U89" s="41"/>
      <c r="V89" s="41"/>
      <c r="W89" s="2"/>
      <c r="X89" s="2"/>
    </row>
    <row r="90" spans="1:27" x14ac:dyDescent="0.25">
      <c r="D90" s="2"/>
      <c r="F90" s="2"/>
      <c r="I90" s="2"/>
      <c r="K90" s="2"/>
      <c r="L90" s="2"/>
      <c r="M90" s="2"/>
      <c r="N90" s="2"/>
      <c r="X90" s="2"/>
    </row>
    <row r="91" spans="1:27" x14ac:dyDescent="0.25">
      <c r="F91" s="2" t="s">
        <v>59</v>
      </c>
      <c r="I91" s="2"/>
      <c r="K91" s="2"/>
      <c r="R91" s="2"/>
      <c r="U91" s="2"/>
      <c r="X91" s="2" t="e">
        <f>+#REF!</f>
        <v>#REF!</v>
      </c>
      <c r="Y91" s="20"/>
      <c r="AA91" s="2"/>
    </row>
    <row r="92" spans="1:27" x14ac:dyDescent="0.25">
      <c r="B92" s="2"/>
      <c r="F92" s="2"/>
      <c r="I92" s="2"/>
      <c r="K92" s="2"/>
      <c r="X92" s="2">
        <f>815000000*1.07</f>
        <v>872050000</v>
      </c>
      <c r="Y92" s="20"/>
      <c r="AA92" s="2"/>
    </row>
    <row r="93" spans="1:27" x14ac:dyDescent="0.25">
      <c r="B93" s="2"/>
      <c r="K93" s="2"/>
      <c r="R93" s="3"/>
      <c r="U93" s="2"/>
      <c r="X93" s="2">
        <v>-1173139539</v>
      </c>
      <c r="Y93" s="20"/>
    </row>
    <row r="94" spans="1:27" x14ac:dyDescent="0.25">
      <c r="K94" s="2"/>
      <c r="R94" s="2"/>
      <c r="X94" s="2">
        <v>-272818809</v>
      </c>
      <c r="Y94" s="20">
        <v>371527244</v>
      </c>
      <c r="Z94" s="2">
        <f>+Y94+X94</f>
        <v>98708435</v>
      </c>
    </row>
    <row r="95" spans="1:27" x14ac:dyDescent="0.25">
      <c r="B95" s="2"/>
      <c r="K95" s="2"/>
      <c r="R95" s="2"/>
      <c r="X95" s="2">
        <f>-(2000000-1920114)*12</f>
        <v>-958632</v>
      </c>
      <c r="Y95" s="2"/>
    </row>
    <row r="96" spans="1:27" x14ac:dyDescent="0.25">
      <c r="D96" s="2">
        <f>+D13+D21+D25+D35+D36</f>
        <v>224928906.36000001</v>
      </c>
      <c r="E96" s="2"/>
      <c r="K96" s="2"/>
      <c r="R96" s="3"/>
      <c r="X96" s="2">
        <v>-49700000</v>
      </c>
      <c r="Y96" s="2"/>
    </row>
    <row r="97" spans="3:24" x14ac:dyDescent="0.25">
      <c r="C97" s="3"/>
      <c r="D97" s="3"/>
      <c r="E97" s="42"/>
      <c r="R97" s="24"/>
      <c r="X97" s="2">
        <f>-R33</f>
        <v>0</v>
      </c>
    </row>
    <row r="98" spans="3:24" x14ac:dyDescent="0.25">
      <c r="D98" s="2">
        <f>198741666-D96</f>
        <v>-26187240.360000014</v>
      </c>
      <c r="X98" s="2">
        <f>-R81</f>
        <v>0</v>
      </c>
    </row>
    <row r="99" spans="3:24" x14ac:dyDescent="0.25">
      <c r="D99">
        <f>+[29]EjecucionPptalPasiva!$S$11</f>
        <v>308530151</v>
      </c>
      <c r="X99" s="2">
        <f>+W23</f>
        <v>0</v>
      </c>
    </row>
    <row r="100" spans="3:24" x14ac:dyDescent="0.25">
      <c r="D100" s="2">
        <f>+D99-D88</f>
        <v>-26187240.360000014</v>
      </c>
      <c r="X100" s="2" t="e">
        <f>SUM(X91:X99)</f>
        <v>#REF!</v>
      </c>
    </row>
    <row r="101" spans="3:24" x14ac:dyDescent="0.25">
      <c r="X101" s="2" t="e">
        <f>+X100-R89</f>
        <v>#REF!</v>
      </c>
    </row>
  </sheetData>
  <autoFilter ref="A5:S89" xr:uid="{4C861BE8-7E5D-4966-A65F-7599F5FEBCAA}"/>
  <mergeCells count="4">
    <mergeCell ref="A1:C1"/>
    <mergeCell ref="A3:S3"/>
    <mergeCell ref="P4:S4"/>
    <mergeCell ref="C4:E4"/>
  </mergeCells>
  <pageMargins left="0.59055118110236227" right="0.39370078740157483" top="0.39370078740157483" bottom="0.59055118110236227" header="0.31496062992125984" footer="0.31496062992125984"/>
  <pageSetup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4B6F753C52164FB1D554AAB843CFC0" ma:contentTypeVersion="13" ma:contentTypeDescription="Crear nuevo documento." ma:contentTypeScope="" ma:versionID="fdd9a5179c0726be441dcaf29a862f93">
  <xsd:schema xmlns:xsd="http://www.w3.org/2001/XMLSchema" xmlns:xs="http://www.w3.org/2001/XMLSchema" xmlns:p="http://schemas.microsoft.com/office/2006/metadata/properties" xmlns:ns3="da22d1dd-5ebb-4fec-87c6-eff43ee1d269" xmlns:ns4="ad235908-71e9-4a93-8573-0051611839c1" targetNamespace="http://schemas.microsoft.com/office/2006/metadata/properties" ma:root="true" ma:fieldsID="80590b0a36ee7e8bc739f60b0312d037" ns3:_="" ns4:_="">
    <xsd:import namespace="da22d1dd-5ebb-4fec-87c6-eff43ee1d269"/>
    <xsd:import namespace="ad235908-71e9-4a93-8573-0051611839c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2d1dd-5ebb-4fec-87c6-eff43ee1d2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235908-71e9-4a93-8573-0051611839c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7B3523-AB61-47C1-90C2-93D428F47119}">
  <ds:schemaRefs>
    <ds:schemaRef ds:uri="http://schemas.microsoft.com/office/2006/metadata/properties"/>
    <ds:schemaRef ds:uri="ad235908-71e9-4a93-8573-0051611839c1"/>
    <ds:schemaRef ds:uri="http://www.w3.org/XML/1998/namespace"/>
    <ds:schemaRef ds:uri="http://schemas.microsoft.com/office/2006/documentManagement/types"/>
    <ds:schemaRef ds:uri="da22d1dd-5ebb-4fec-87c6-eff43ee1d269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133DCCC-C4EA-4FBF-B0EF-41F66EE5CC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96E7D1-AF9D-4C74-8F4E-A820F59BCE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22d1dd-5ebb-4fec-87c6-eff43ee1d269"/>
    <ds:schemaRef ds:uri="ad235908-71e9-4a93-8573-0051611839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202302M</vt:lpstr>
      <vt:lpstr>202501anual</vt:lpstr>
      <vt:lpstr>2025Ej</vt:lpstr>
      <vt:lpstr>202301</vt:lpstr>
      <vt:lpstr>'202301'!Área_de_impresión</vt:lpstr>
      <vt:lpstr>'202302M'!Área_de_impresión</vt:lpstr>
      <vt:lpstr>'202501anual'!Área_de_impresión</vt:lpstr>
      <vt:lpstr>'2025Ej'!Área_de_impresión</vt:lpstr>
      <vt:lpstr>'202301'!Títulos_a_imprimir</vt:lpstr>
      <vt:lpstr>'202302M'!Títulos_a_imprimir</vt:lpstr>
      <vt:lpstr>'202501anual'!Títulos_a_imprimir</vt:lpstr>
      <vt:lpstr>'2025Ej'!Títulos_a_imprimir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DANIEL ZAPATA YEPES</dc:creator>
  <cp:lastModifiedBy>USUARIO</cp:lastModifiedBy>
  <cp:lastPrinted>2025-12-15T18:02:08Z</cp:lastPrinted>
  <dcterms:created xsi:type="dcterms:W3CDTF">2021-06-03T01:26:57Z</dcterms:created>
  <dcterms:modified xsi:type="dcterms:W3CDTF">2026-01-21T03:08:25Z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6bb131-2344-48ed-84db-fe1e84a9fae2_Enabled">
    <vt:lpwstr>true</vt:lpwstr>
  </property>
  <property fmtid="{D5CDD505-2E9C-101B-9397-08002B2CF9AE}" pid="3" name="MSIP_Label_666bb131-2344-48ed-84db-fe1e84a9fae2_SetDate">
    <vt:lpwstr>2021-06-03T01:26:58Z</vt:lpwstr>
  </property>
  <property fmtid="{D5CDD505-2E9C-101B-9397-08002B2CF9AE}" pid="4" name="MSIP_Label_666bb131-2344-48ed-84db-fe1e84a9fae2_Method">
    <vt:lpwstr>Standard</vt:lpwstr>
  </property>
  <property fmtid="{D5CDD505-2E9C-101B-9397-08002B2CF9AE}" pid="5" name="MSIP_Label_666bb131-2344-48ed-84db-fe1e84a9fae2_Name">
    <vt:lpwstr>666bb131-2344-48ed-84db-fe1e84a9fae2</vt:lpwstr>
  </property>
  <property fmtid="{D5CDD505-2E9C-101B-9397-08002B2CF9AE}" pid="6" name="MSIP_Label_666bb131-2344-48ed-84db-fe1e84a9fae2_SiteId">
    <vt:lpwstr>bf1ce8b5-5d39-4bc5-ad6e-07b3e4d7d67a</vt:lpwstr>
  </property>
  <property fmtid="{D5CDD505-2E9C-101B-9397-08002B2CF9AE}" pid="7" name="MSIP_Label_666bb131-2344-48ed-84db-fe1e84a9fae2_ActionId">
    <vt:lpwstr>57355c52-4144-49a0-b163-dcd799bb362e</vt:lpwstr>
  </property>
  <property fmtid="{D5CDD505-2E9C-101B-9397-08002B2CF9AE}" pid="8" name="MSIP_Label_666bb131-2344-48ed-84db-fe1e84a9fae2_ContentBits">
    <vt:lpwstr>0</vt:lpwstr>
  </property>
  <property fmtid="{D5CDD505-2E9C-101B-9397-08002B2CF9AE}" pid="9" name="ContentTypeId">
    <vt:lpwstr>0x010100234B6F753C52164FB1D554AAB843CFC0</vt:lpwstr>
  </property>
  <property fmtid="{D5CDD505-2E9C-101B-9397-08002B2CF9AE}" pid="10" name="SV_QUERY_LIST_4F35BF76-6C0D-4D9B-82B2-816C12CF3733">
    <vt:lpwstr>empty_477D106A-C0D6-4607-AEBD-E2C9D60EA279</vt:lpwstr>
  </property>
  <property fmtid="{D5CDD505-2E9C-101B-9397-08002B2CF9AE}" pid="11" name="SV_HIDDEN_GRID_QUERY_LIST_4F35BF76-6C0D-4D9B-82B2-816C12CF3733">
    <vt:lpwstr>empty_477D106A-C0D6-4607-AEBD-E2C9D60EA279</vt:lpwstr>
  </property>
</Properties>
</file>